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 Planilhas Escolas\Escolas\Construção de Nova Creche Tamoios 2023\ÚLTIMA VERSÃO 11-23\ORÇAMENTO E ACERVO\XLS\"/>
    </mc:Choice>
  </mc:AlternateContent>
  <bookViews>
    <workbookView xWindow="0" yWindow="0" windowWidth="28800" windowHeight="11700" firstSheet="4" activeTab="8"/>
  </bookViews>
  <sheets>
    <sheet name="CÁLCULO BDI (NÃO DESON)" sheetId="14" r:id="rId1"/>
    <sheet name="BDI" sheetId="2" r:id="rId2"/>
    <sheet name="ORÇAMENTO SINTÉTICO (NÃO DESON)" sheetId="3" r:id="rId3"/>
    <sheet name="CURVA ABC (NÃO DESON) " sheetId="4" r:id="rId4"/>
    <sheet name="CCU (NÃO DESON) " sheetId="15" r:id="rId5"/>
    <sheet name="CÁLCULO BDI (DESON.)" sheetId="11" r:id="rId6"/>
    <sheet name="ORÇAMENTO SINTÉTICO (DESON)" sheetId="16" r:id="rId7"/>
    <sheet name="MEMÓRIA DE CÁLCULO" sheetId="5" r:id="rId8"/>
    <sheet name="CRONOGRAMA" sheetId="7" r:id="rId9"/>
  </sheets>
  <externalReferences>
    <externalReference r:id="rId10"/>
  </externalReferences>
  <definedNames>
    <definedName name="_Fill" localSheetId="5">#REF!</definedName>
    <definedName name="_Fill" localSheetId="0">#REF!</definedName>
    <definedName name="_Fill" localSheetId="4" hidden="1">#REF!</definedName>
    <definedName name="_Fill" localSheetId="6">#REF!</definedName>
    <definedName name="_Fill">#REF!</definedName>
    <definedName name="_xlnm._FilterDatabase" localSheetId="3" hidden="1">'CURVA ABC (NÃO DESON) '!#REF!</definedName>
    <definedName name="_xlnm._FilterDatabase" localSheetId="7" hidden="1">'MEMÓRIA DE CÁLCULO'!$P$1:$P$2907</definedName>
    <definedName name="_xlnm._FilterDatabase" localSheetId="6" hidden="1">'ORÇAMENTO SINTÉTICO (DESON)'!$A$14:$J$15</definedName>
    <definedName name="_Key1" localSheetId="5">#REF!</definedName>
    <definedName name="_Key1" localSheetId="0">#REF!</definedName>
    <definedName name="_Key1" localSheetId="4" hidden="1">#REF!</definedName>
    <definedName name="_Key1" localSheetId="6">#REF!</definedName>
    <definedName name="_Key1">#REF!</definedName>
    <definedName name="_Key2" localSheetId="5">#REF!</definedName>
    <definedName name="_Key2" localSheetId="0">#REF!</definedName>
    <definedName name="_Key2" localSheetId="4" hidden="1">#REF!</definedName>
    <definedName name="_Key2" localSheetId="6">#REF!</definedName>
    <definedName name="_Key2">#REF!</definedName>
    <definedName name="_Order1" hidden="1">255</definedName>
    <definedName name="_Order2" hidden="1">255</definedName>
    <definedName name="_Sort" localSheetId="5">#REF!</definedName>
    <definedName name="_Sort" localSheetId="0">#REF!</definedName>
    <definedName name="_Sort" localSheetId="4" hidden="1">#REF!</definedName>
    <definedName name="_Sort" localSheetId="6">#REF!</definedName>
    <definedName name="_Sort">#REF!</definedName>
    <definedName name="a" localSheetId="5">#REF!</definedName>
    <definedName name="a" localSheetId="0">#REF!</definedName>
    <definedName name="a" localSheetId="4">#REF!</definedName>
    <definedName name="a" localSheetId="6">#REF!</definedName>
    <definedName name="a">#REF!</definedName>
    <definedName name="ABC" localSheetId="5">#REF!</definedName>
    <definedName name="ABC" localSheetId="0">#REF!</definedName>
    <definedName name="ABC" localSheetId="4">#REF!</definedName>
    <definedName name="ABC" localSheetId="6">#REF!</definedName>
    <definedName name="ABC">#REF!</definedName>
    <definedName name="ACRE" localSheetId="5">#REF!</definedName>
    <definedName name="ACRE" localSheetId="0">#REF!</definedName>
    <definedName name="ACRE" localSheetId="4" hidden="1">#REF!</definedName>
    <definedName name="ACRE" localSheetId="6">#REF!</definedName>
    <definedName name="ACRE">#REF!</definedName>
    <definedName name="ademir" localSheetId="5">#REF!</definedName>
    <definedName name="ademir" localSheetId="0">#REF!</definedName>
    <definedName name="ademir" localSheetId="4">#REF!</definedName>
    <definedName name="ademir" localSheetId="6">#REF!</definedName>
    <definedName name="ademir">#REF!</definedName>
    <definedName name="ANO" localSheetId="5">#REF!</definedName>
    <definedName name="ANO" localSheetId="0">#REF!</definedName>
    <definedName name="ANO" localSheetId="4">#REF!</definedName>
    <definedName name="ANO" localSheetId="6">#REF!</definedName>
    <definedName name="ANO">#REF!</definedName>
    <definedName name="_xlnm.Print_Area" localSheetId="1">BDI!$A$1:$N$26</definedName>
    <definedName name="_xlnm.Print_Area" localSheetId="5">'CÁLCULO BDI (DESON.)'!$A$1:$N$21</definedName>
    <definedName name="_xlnm.Print_Area" localSheetId="0">'CÁLCULO BDI (NÃO DESON)'!$A$1:$N$20</definedName>
    <definedName name="_xlnm.Print_Area" localSheetId="4">'CCU (NÃO DESON) '!$A$1:$G$788</definedName>
    <definedName name="_xlnm.Print_Area" localSheetId="8">CRONOGRAMA!$A$1:$I$75</definedName>
    <definedName name="_xlnm.Print_Area" localSheetId="3">'CURVA ABC (NÃO DESON) '!$A$1:$K$439</definedName>
    <definedName name="_xlnm.Print_Area" localSheetId="7">'MEMÓRIA DE CÁLCULO'!$A$1:$N$2865</definedName>
    <definedName name="_xlnm.Print_Area" localSheetId="6">'ORÇAMENTO SINTÉTICO (DESON)'!$A$1:$J$485</definedName>
    <definedName name="_xlnm.Print_Area" localSheetId="2">'ORÇAMENTO SINTÉTICO (NÃO DESON)'!$A$1:$J$486</definedName>
    <definedName name="AreaTeste" localSheetId="5">#REF!</definedName>
    <definedName name="AreaTeste" localSheetId="0">#REF!</definedName>
    <definedName name="AreaTeste" localSheetId="4">#REF!</definedName>
    <definedName name="AreaTeste" localSheetId="6">#REF!</definedName>
    <definedName name="AreaTeste">#REF!</definedName>
    <definedName name="AreaTeste2" localSheetId="5">#REF!</definedName>
    <definedName name="AreaTeste2" localSheetId="0">#REF!</definedName>
    <definedName name="AreaTeste2" localSheetId="4">#REF!</definedName>
    <definedName name="AreaTeste2" localSheetId="6">#REF!</definedName>
    <definedName name="AreaTeste2">#REF!</definedName>
    <definedName name="BDI" localSheetId="5">#REF!</definedName>
    <definedName name="BDI" localSheetId="0">#REF!</definedName>
    <definedName name="BDI" localSheetId="4">#REF!</definedName>
    <definedName name="BDI" localSheetId="6">#REF!</definedName>
    <definedName name="BDI">#REF!</definedName>
    <definedName name="bosta" localSheetId="5">#REF!</definedName>
    <definedName name="bosta" localSheetId="0">#REF!</definedName>
    <definedName name="bosta" localSheetId="4">#REF!</definedName>
    <definedName name="bosta" localSheetId="6">#REF!</definedName>
    <definedName name="bosta">#REF!</definedName>
    <definedName name="CA´L" hidden="1">{#N/A,#N/A,FALSE,"Cronograma";#N/A,#N/A,FALSE,"Cronogr. 2"}</definedName>
    <definedName name="CélulaInicioPlanilha" localSheetId="5">#REF!</definedName>
    <definedName name="CélulaInicioPlanilha" localSheetId="0">#REF!</definedName>
    <definedName name="CélulaInicioPlanilha" localSheetId="4">#REF!</definedName>
    <definedName name="CélulaInicioPlanilha" localSheetId="6">#REF!</definedName>
    <definedName name="CélulaInicioPlanilha">#REF!</definedName>
    <definedName name="CélulaResumo" localSheetId="5">#REF!</definedName>
    <definedName name="CélulaResumo" localSheetId="0">#REF!</definedName>
    <definedName name="CélulaResumo" localSheetId="4">#REF!</definedName>
    <definedName name="CélulaResumo" localSheetId="6">#REF!</definedName>
    <definedName name="CélulaResumo">#REF!</definedName>
    <definedName name="CIFixa" localSheetId="5">#REF!</definedName>
    <definedName name="CIFixa" localSheetId="0">#REF!</definedName>
    <definedName name="CIFixa" localSheetId="4">#REF!</definedName>
    <definedName name="CIFixa" localSheetId="6">#REF!</definedName>
    <definedName name="CIFixa">#REF!</definedName>
    <definedName name="citotal" localSheetId="5">#REF!</definedName>
    <definedName name="citotal" localSheetId="0">#REF!</definedName>
    <definedName name="citotal" localSheetId="4">#REF!</definedName>
    <definedName name="citotal" localSheetId="6">#REF!</definedName>
    <definedName name="citotal">#REF!</definedName>
    <definedName name="CIvar" localSheetId="5">#REF!</definedName>
    <definedName name="CIvar" localSheetId="0">#REF!</definedName>
    <definedName name="CIvar" localSheetId="4">#REF!</definedName>
    <definedName name="CIvar" localSheetId="6">#REF!</definedName>
    <definedName name="CIvar">#REF!</definedName>
    <definedName name="coluna" localSheetId="5">#REF!</definedName>
    <definedName name="coluna" localSheetId="0">#REF!</definedName>
    <definedName name="coluna" localSheetId="4">#REF!</definedName>
    <definedName name="coluna" localSheetId="6">#REF!</definedName>
    <definedName name="coluna">#REF!</definedName>
    <definedName name="COMPOSIÇÃO" localSheetId="5">#REF!</definedName>
    <definedName name="COMPOSIÇÃO" localSheetId="0">#REF!</definedName>
    <definedName name="COMPOSIÇÃO" localSheetId="4">#REF!</definedName>
    <definedName name="COMPOSIÇÃO" localSheetId="6">#REF!</definedName>
    <definedName name="COMPOSIÇÃO">#REF!</definedName>
    <definedName name="COMPOSICAORIP" localSheetId="5">#REF!</definedName>
    <definedName name="COMPOSICAORIP" localSheetId="0">#REF!</definedName>
    <definedName name="COMPOSICAORIP" localSheetId="4">#REF!</definedName>
    <definedName name="COMPOSICAORIP" localSheetId="6">#REF!</definedName>
    <definedName name="COMPOSICAORIP">#REF!</definedName>
    <definedName name="concorrentes" localSheetId="5">#REF!</definedName>
    <definedName name="concorrentes" localSheetId="0">#REF!</definedName>
    <definedName name="concorrentes" localSheetId="4">#REF!</definedName>
    <definedName name="concorrentes" localSheetId="6">#REF!</definedName>
    <definedName name="concorrentes">#REF!</definedName>
    <definedName name="Conf" localSheetId="5">#REF!</definedName>
    <definedName name="Conf" localSheetId="0">#REF!</definedName>
    <definedName name="Conf" localSheetId="4">#REF!</definedName>
    <definedName name="Conf" localSheetId="6">#REF!</definedName>
    <definedName name="Conf">#REF!</definedName>
    <definedName name="COT" localSheetId="5">#REF!</definedName>
    <definedName name="COT" localSheetId="0">#REF!</definedName>
    <definedName name="COT" localSheetId="4">#REF!</definedName>
    <definedName name="COT" localSheetId="6">#REF!</definedName>
    <definedName name="COT">#REF!</definedName>
    <definedName name="CURVA" localSheetId="5">#REF!</definedName>
    <definedName name="CURVA" localSheetId="0">#REF!</definedName>
    <definedName name="CURVA" localSheetId="4">#REF!</definedName>
    <definedName name="CURVA" localSheetId="6">#REF!</definedName>
    <definedName name="CURVA">#REF!</definedName>
    <definedName name="CUSTODIRETO" localSheetId="5">#REF!</definedName>
    <definedName name="CUSTODIRETO" localSheetId="0">#REF!</definedName>
    <definedName name="CUSTODIRETO" localSheetId="4">#REF!</definedName>
    <definedName name="CUSTODIRETO" localSheetId="6">#REF!</definedName>
    <definedName name="CUSTODIRETO">#REF!</definedName>
    <definedName name="CUSTOFIN" localSheetId="5">#REF!</definedName>
    <definedName name="CUSTOFIN" localSheetId="0">#REF!</definedName>
    <definedName name="CUSTOFIN" localSheetId="4">#REF!</definedName>
    <definedName name="CUSTOFIN" localSheetId="6">#REF!</definedName>
    <definedName name="CUSTOFIN">#REF!</definedName>
    <definedName name="CUSTOINDIRETO" localSheetId="5">#REF!</definedName>
    <definedName name="CUSTOINDIRETO" localSheetId="0">#REF!</definedName>
    <definedName name="CUSTOINDIRETO" localSheetId="4">#REF!</definedName>
    <definedName name="CUSTOINDIRETO" localSheetId="6">#REF!</definedName>
    <definedName name="CUSTOINDIRETO">#REF!</definedName>
    <definedName name="DATA_BASE" localSheetId="5">#REF!</definedName>
    <definedName name="DATA_BASE" localSheetId="0">#REF!</definedName>
    <definedName name="DATA_BASE" localSheetId="4">#REF!</definedName>
    <definedName name="DATA_BASE" localSheetId="6">#REF!</definedName>
    <definedName name="DATA_BASE">#REF!</definedName>
    <definedName name="DATA_ENTREGA" localSheetId="5">#REF!</definedName>
    <definedName name="DATA_ENTREGA" localSheetId="0">#REF!</definedName>
    <definedName name="DATA_ENTREGA" localSheetId="4">#REF!</definedName>
    <definedName name="DATA_ENTREGA" localSheetId="6">#REF!</definedName>
    <definedName name="DATA_ENTREGA">#REF!</definedName>
    <definedName name="Data_Fecha" localSheetId="5">#REF!</definedName>
    <definedName name="Data_Fecha" localSheetId="0">#REF!</definedName>
    <definedName name="Data_Fecha" localSheetId="4">#REF!</definedName>
    <definedName name="Data_Fecha" localSheetId="6">#REF!</definedName>
    <definedName name="Data_Fecha">#REF!</definedName>
    <definedName name="DEDE" localSheetId="5">#REF!</definedName>
    <definedName name="DEDE" localSheetId="0">#REF!</definedName>
    <definedName name="DEDE" localSheetId="4">#REF!</definedName>
    <definedName name="DEDE" localSheetId="6">#REF!</definedName>
    <definedName name="DEDE">#REF!</definedName>
    <definedName name="DESCRICAO_OBRA" localSheetId="5">#REF!</definedName>
    <definedName name="DESCRICAO_OBRA" localSheetId="0">#REF!</definedName>
    <definedName name="DESCRICAO_OBRA" localSheetId="4">#REF!</definedName>
    <definedName name="DESCRICAO_OBRA" localSheetId="6">#REF!</definedName>
    <definedName name="DESCRICAO_OBRA">#REF!</definedName>
    <definedName name="deso" localSheetId="5">#REF!</definedName>
    <definedName name="deso" localSheetId="0">#REF!</definedName>
    <definedName name="deso" localSheetId="4">#REF!</definedName>
    <definedName name="deso" localSheetId="6">#REF!</definedName>
    <definedName name="deso">#REF!</definedName>
    <definedName name="Dir_Tecnico" localSheetId="5">#REF!</definedName>
    <definedName name="Dir_Tecnico" localSheetId="0">#REF!</definedName>
    <definedName name="Dir_Tecnico" localSheetId="4">#REF!</definedName>
    <definedName name="Dir_Tecnico" localSheetId="6">#REF!</definedName>
    <definedName name="Dir_Tecnico">#REF!</definedName>
    <definedName name="Document" localSheetId="5">#REF!</definedName>
    <definedName name="Document" localSheetId="0">#REF!</definedName>
    <definedName name="Document" localSheetId="4">#REF!</definedName>
    <definedName name="Document" localSheetId="6">#REF!</definedName>
    <definedName name="Document">#REF!</definedName>
    <definedName name="e" localSheetId="5">#REF!</definedName>
    <definedName name="e" localSheetId="0">#REF!</definedName>
    <definedName name="e" localSheetId="4">#REF!</definedName>
    <definedName name="e" localSheetId="6">#REF!</definedName>
    <definedName name="e">#REF!</definedName>
    <definedName name="ESCADARIA" localSheetId="5">#REF!</definedName>
    <definedName name="ESCADARIA" localSheetId="0">#REF!</definedName>
    <definedName name="ESCADARIA" localSheetId="4">#REF!</definedName>
    <definedName name="ESCADARIA" localSheetId="6">#REF!</definedName>
    <definedName name="ESCADARIA">#REF!</definedName>
    <definedName name="ESTADO" localSheetId="5">#REF!</definedName>
    <definedName name="ESTADO" localSheetId="0">#REF!</definedName>
    <definedName name="ESTADO" localSheetId="4">#REF!</definedName>
    <definedName name="ESTADO" localSheetId="6">#REF!</definedName>
    <definedName name="ESTADO">#REF!</definedName>
    <definedName name="eu" localSheetId="1">#REF!</definedName>
    <definedName name="eu" localSheetId="5">#REF!</definedName>
    <definedName name="eu" localSheetId="0">#REF!</definedName>
    <definedName name="eu" localSheetId="4">#REF!</definedName>
    <definedName name="eu" localSheetId="6">#REF!</definedName>
    <definedName name="eu">#REF!</definedName>
    <definedName name="Excel_BuiltIn_Print_Area_27" localSheetId="5">#REF!</definedName>
    <definedName name="Excel_BuiltIn_Print_Area_27" localSheetId="0">#REF!</definedName>
    <definedName name="Excel_BuiltIn_Print_Area_27" localSheetId="4">#REF!</definedName>
    <definedName name="Excel_BuiltIn_Print_Area_27" localSheetId="6">#REF!</definedName>
    <definedName name="Excel_BuiltIn_Print_Area_27">#REF!</definedName>
    <definedName name="Excel_BuiltIn_Print_Titles_27" localSheetId="5">#REF!</definedName>
    <definedName name="Excel_BuiltIn_Print_Titles_27" localSheetId="0">#REF!</definedName>
    <definedName name="Excel_BuiltIn_Print_Titles_27" localSheetId="4">#REF!</definedName>
    <definedName name="Excel_BuiltIn_Print_Titles_27" localSheetId="6">#REF!</definedName>
    <definedName name="Excel_BuiltIn_Print_Titles_27">#REF!</definedName>
    <definedName name="Fábio" localSheetId="5">#REF!</definedName>
    <definedName name="Fábio" localSheetId="0">#REF!</definedName>
    <definedName name="Fábio" localSheetId="4">#REF!</definedName>
    <definedName name="Fábio" localSheetId="6">#REF!</definedName>
    <definedName name="Fábio">#REF!</definedName>
    <definedName name="FATOR_K" localSheetId="5">#REF!</definedName>
    <definedName name="FATOR_K" localSheetId="0">#REF!</definedName>
    <definedName name="FATOR_K" localSheetId="4">#REF!</definedName>
    <definedName name="FATOR_K" localSheetId="6">#REF!</definedName>
    <definedName name="FATOR_K">#REF!</definedName>
    <definedName name="firma2" localSheetId="5">#REF!</definedName>
    <definedName name="firma2" localSheetId="0">#REF!</definedName>
    <definedName name="firma2" localSheetId="4">#REF!</definedName>
    <definedName name="firma2" localSheetId="6">#REF!</definedName>
    <definedName name="firma2">#REF!</definedName>
    <definedName name="Ger_Tecnico" localSheetId="5">#REF!</definedName>
    <definedName name="Ger_Tecnico" localSheetId="0">#REF!</definedName>
    <definedName name="Ger_Tecnico" localSheetId="4">#REF!</definedName>
    <definedName name="Ger_Tecnico" localSheetId="6">#REF!</definedName>
    <definedName name="Ger_Tecnico">#REF!</definedName>
    <definedName name="I" localSheetId="5">#REF!</definedName>
    <definedName name="I" localSheetId="0">#REF!</definedName>
    <definedName name="I" localSheetId="4">#REF!</definedName>
    <definedName name="I" localSheetId="6">#REF!</definedName>
    <definedName name="I">#REF!</definedName>
    <definedName name="JORGE" localSheetId="5">#REF!</definedName>
    <definedName name="JORGE" localSheetId="0">#REF!</definedName>
    <definedName name="JORGE" localSheetId="4">#REF!</definedName>
    <definedName name="JORGE" localSheetId="6">#REF!</definedName>
    <definedName name="JORGE">#REF!</definedName>
    <definedName name="JR_PAGE_ANCHOR_0_1" localSheetId="0">[1]orcamento!#REF!</definedName>
    <definedName name="JR_PAGE_ANCHOR_0_1" localSheetId="4">#REF!</definedName>
    <definedName name="JR_PAGE_ANCHOR_0_1" localSheetId="6">[1]orcamento!#REF!</definedName>
    <definedName name="JR_PAGE_ANCHOR_0_1">[1]orcamento!#REF!</definedName>
    <definedName name="Lider_Oper" localSheetId="5">#REF!</definedName>
    <definedName name="Lider_Oper" localSheetId="0">#REF!</definedName>
    <definedName name="Lider_Oper" localSheetId="4">#REF!</definedName>
    <definedName name="Lider_Oper" localSheetId="6">#REF!</definedName>
    <definedName name="Lider_Oper">#REF!</definedName>
    <definedName name="LIMITADOR" localSheetId="5">#REF!</definedName>
    <definedName name="LIMITADOR" localSheetId="0">#REF!</definedName>
    <definedName name="LIMITADOR" localSheetId="4">#REF!</definedName>
    <definedName name="LIMITADOR" localSheetId="6">#REF!</definedName>
    <definedName name="LIMITADOR">#REF!</definedName>
    <definedName name="LINE" localSheetId="5">#REF!</definedName>
    <definedName name="LINE" localSheetId="0">#REF!</definedName>
    <definedName name="LINE" localSheetId="4">#REF!</definedName>
    <definedName name="LINE" localSheetId="6">#REF!</definedName>
    <definedName name="LINE">#REF!</definedName>
    <definedName name="LINHA" localSheetId="5">#REF!</definedName>
    <definedName name="LINHA" localSheetId="0">#REF!</definedName>
    <definedName name="LINHA" localSheetId="4">#REF!</definedName>
    <definedName name="LINHA" localSheetId="6">#REF!</definedName>
    <definedName name="LINHA">#REF!</definedName>
    <definedName name="linha2" localSheetId="5">#REF!</definedName>
    <definedName name="linha2" localSheetId="0">#REF!</definedName>
    <definedName name="linha2" localSheetId="4">#REF!</definedName>
    <definedName name="linha2" localSheetId="6">#REF!</definedName>
    <definedName name="linha2">#REF!</definedName>
    <definedName name="LOCALOBRA" localSheetId="5">#REF!</definedName>
    <definedName name="LOCALOBRA" localSheetId="0">#REF!</definedName>
    <definedName name="LOCALOBRA" localSheetId="4">#REF!</definedName>
    <definedName name="LOCALOBRA" localSheetId="6">#REF!</definedName>
    <definedName name="LOCALOBRA">#REF!</definedName>
    <definedName name="LUCÁCIA" localSheetId="5">#REF!</definedName>
    <definedName name="LUCÁCIA" localSheetId="0">#REF!</definedName>
    <definedName name="LUCÁCIA" localSheetId="4">#REF!</definedName>
    <definedName name="LUCÁCIA" localSheetId="6">#REF!</definedName>
    <definedName name="LUCÁCIA">#REF!</definedName>
    <definedName name="LUCRO" localSheetId="5">#REF!</definedName>
    <definedName name="LUCRO" localSheetId="0">#REF!</definedName>
    <definedName name="LUCRO" localSheetId="4">#REF!</definedName>
    <definedName name="LUCRO" localSheetId="6">#REF!</definedName>
    <definedName name="LUCRO">#REF!</definedName>
    <definedName name="mais" localSheetId="5">#REF!</definedName>
    <definedName name="mais" localSheetId="0">#REF!</definedName>
    <definedName name="mais" localSheetId="4">#REF!</definedName>
    <definedName name="mais" localSheetId="6">#REF!</definedName>
    <definedName name="mais">#REF!</definedName>
    <definedName name="MC" localSheetId="5">#REF!</definedName>
    <definedName name="MC" localSheetId="0">#REF!</definedName>
    <definedName name="MC" localSheetId="4">#REF!</definedName>
    <definedName name="MC" localSheetId="6">#REF!</definedName>
    <definedName name="MC">#REF!</definedName>
    <definedName name="medidas" localSheetId="5">#REF!</definedName>
    <definedName name="medidas" localSheetId="0">#REF!</definedName>
    <definedName name="medidas" localSheetId="4">#REF!</definedName>
    <definedName name="medidas" localSheetId="6">#REF!</definedName>
    <definedName name="medidas">#REF!</definedName>
    <definedName name="MEMORIA" localSheetId="5">#REF!</definedName>
    <definedName name="MEMORIA" localSheetId="0">#REF!</definedName>
    <definedName name="MEMORIA" localSheetId="4">#REF!</definedName>
    <definedName name="MEMORIA" localSheetId="6">#REF!</definedName>
    <definedName name="MEMORIA">#REF!</definedName>
    <definedName name="menos" localSheetId="5">#REF!</definedName>
    <definedName name="menos" localSheetId="0">#REF!</definedName>
    <definedName name="menos" localSheetId="4">#REF!</definedName>
    <definedName name="menos" localSheetId="6">#REF!</definedName>
    <definedName name="menos">#REF!</definedName>
    <definedName name="MIOJUF" localSheetId="5">#REF!</definedName>
    <definedName name="MIOJUF" localSheetId="0">#REF!</definedName>
    <definedName name="MIOJUF" localSheetId="4">#REF!</definedName>
    <definedName name="MIOJUF" localSheetId="6">#REF!</definedName>
    <definedName name="MIOJUF">#REF!</definedName>
    <definedName name="NOME1" localSheetId="5">#REF!</definedName>
    <definedName name="NOME1" localSheetId="0">#REF!</definedName>
    <definedName name="NOME1" localSheetId="4">#REF!</definedName>
    <definedName name="NOME1" localSheetId="6">#REF!</definedName>
    <definedName name="NOME1">#REF!</definedName>
    <definedName name="NOMEOBRA" localSheetId="5">#REF!</definedName>
    <definedName name="NOMEOBRA" localSheetId="0">#REF!</definedName>
    <definedName name="NOMEOBRA" localSheetId="4">#REF!</definedName>
    <definedName name="NOMEOBRA" localSheetId="6">#REF!</definedName>
    <definedName name="NOMEOBRA">#REF!</definedName>
    <definedName name="NUMOBRA" localSheetId="5">#REF!</definedName>
    <definedName name="NUMOBRA" localSheetId="0">#REF!</definedName>
    <definedName name="NUMOBRA" localSheetId="4">#REF!</definedName>
    <definedName name="NUMOBRA" localSheetId="6">#REF!</definedName>
    <definedName name="NUMOBRA">#REF!</definedName>
    <definedName name="Orcamen" localSheetId="5">#REF!</definedName>
    <definedName name="Orcamen" localSheetId="0">#REF!</definedName>
    <definedName name="Orcamen" localSheetId="4">#REF!</definedName>
    <definedName name="Orcamen" localSheetId="6">#REF!</definedName>
    <definedName name="Orcamen">#REF!</definedName>
    <definedName name="plan" localSheetId="5">#REF!</definedName>
    <definedName name="plan" localSheetId="0">#REF!</definedName>
    <definedName name="plan" localSheetId="4">#REF!</definedName>
    <definedName name="plan" localSheetId="6">#REF!</definedName>
    <definedName name="plan">#REF!</definedName>
    <definedName name="plan1" localSheetId="5">#REF!</definedName>
    <definedName name="plan1" localSheetId="0">#REF!</definedName>
    <definedName name="plan1" localSheetId="4">#REF!</definedName>
    <definedName name="plan1" localSheetId="6">#REF!</definedName>
    <definedName name="plan1">#REF!</definedName>
    <definedName name="PLANILHA" localSheetId="5">#REF!</definedName>
    <definedName name="PLANILHA" localSheetId="0">#REF!</definedName>
    <definedName name="PLANILHA" localSheetId="4">#REF!</definedName>
    <definedName name="PLANILHA" localSheetId="6">#REF!</definedName>
    <definedName name="PLANILHA">#REF!</definedName>
    <definedName name="Popular" localSheetId="5">#REF!</definedName>
    <definedName name="Popular" localSheetId="0">#REF!</definedName>
    <definedName name="Popular" localSheetId="4">#REF!</definedName>
    <definedName name="Popular" localSheetId="6">#REF!</definedName>
    <definedName name="Popular">#REF!</definedName>
    <definedName name="PRAZO_EDITAL" localSheetId="5">#REF!</definedName>
    <definedName name="PRAZO_EDITAL" localSheetId="0">#REF!</definedName>
    <definedName name="PRAZO_EDITAL" localSheetId="4">#REF!</definedName>
    <definedName name="PRAZO_EDITAL" localSheetId="6">#REF!</definedName>
    <definedName name="PRAZO_EDITAL">#REF!</definedName>
    <definedName name="PRAZO_ORC" localSheetId="5">#REF!</definedName>
    <definedName name="PRAZO_ORC" localSheetId="0">#REF!</definedName>
    <definedName name="PRAZO_ORC" localSheetId="4">#REF!</definedName>
    <definedName name="PRAZO_ORC" localSheetId="6">#REF!</definedName>
    <definedName name="PRAZO_ORC">#REF!</definedName>
    <definedName name="Print_Area_MI" localSheetId="5">#REF!</definedName>
    <definedName name="Print_Area_MI" localSheetId="0">#REF!</definedName>
    <definedName name="Print_Area_MI" localSheetId="4">#REF!</definedName>
    <definedName name="Print_Area_MI" localSheetId="6">#REF!</definedName>
    <definedName name="Print_Area_MI">#REF!</definedName>
    <definedName name="Quadra" localSheetId="1">#REF!</definedName>
    <definedName name="Quadra" localSheetId="5">#REF!</definedName>
    <definedName name="Quadra" localSheetId="0">#REF!</definedName>
    <definedName name="Quadra" localSheetId="4">#REF!</definedName>
    <definedName name="Quadra" localSheetId="6">#REF!</definedName>
    <definedName name="Quadra">#REF!</definedName>
    <definedName name="quadra2" localSheetId="1">#REF!</definedName>
    <definedName name="quadra2" localSheetId="5">#REF!</definedName>
    <definedName name="quadra2" localSheetId="0">#REF!</definedName>
    <definedName name="quadra2" localSheetId="4">#REF!</definedName>
    <definedName name="quadra2" localSheetId="6">#REF!</definedName>
    <definedName name="quadra2">#REF!</definedName>
    <definedName name="Quantidades" localSheetId="1">#REF!</definedName>
    <definedName name="Quantidades" localSheetId="5">#REF!</definedName>
    <definedName name="Quantidades" localSheetId="0">#REF!</definedName>
    <definedName name="Quantidades" localSheetId="4">#REF!</definedName>
    <definedName name="Quantidades" localSheetId="6">#REF!</definedName>
    <definedName name="Quantidades">#REF!</definedName>
    <definedName name="rio" localSheetId="5">#REF!</definedName>
    <definedName name="rio" localSheetId="0">#REF!</definedName>
    <definedName name="rio" localSheetId="4">#REF!</definedName>
    <definedName name="rio" localSheetId="6">#REF!</definedName>
    <definedName name="rio">#REF!</definedName>
    <definedName name="s" localSheetId="1">#REF!</definedName>
    <definedName name="s" localSheetId="5">#REF!</definedName>
    <definedName name="s" localSheetId="0">#REF!</definedName>
    <definedName name="s" localSheetId="4">#REF!</definedName>
    <definedName name="s" localSheetId="6">#REF!</definedName>
    <definedName name="s">#REF!</definedName>
    <definedName name="SERVIÇOS" localSheetId="5">#REF!</definedName>
    <definedName name="SERVIÇOS" localSheetId="0">#REF!</definedName>
    <definedName name="SERVIÇOS" localSheetId="4">#REF!</definedName>
    <definedName name="SERVIÇOS" localSheetId="6">#REF!</definedName>
    <definedName name="SERVIÇOS">#REF!</definedName>
    <definedName name="SINAPI_AC" localSheetId="5">#REF!</definedName>
    <definedName name="SINAPI_AC" localSheetId="0">#REF!</definedName>
    <definedName name="SINAPI_AC" localSheetId="4" hidden="1">#REF!</definedName>
    <definedName name="SINAPI_AC" localSheetId="6">#REF!</definedName>
    <definedName name="SINAPI_AC">#REF!</definedName>
    <definedName name="ss" hidden="1">{#N/A,#N/A,FALSE,"Cronograma";#N/A,#N/A,FALSE,"Cronogr. 2"}</definedName>
    <definedName name="TABELA" localSheetId="5">#REF!</definedName>
    <definedName name="TABELA" localSheetId="0">#REF!</definedName>
    <definedName name="TABELA" localSheetId="4">#REF!</definedName>
    <definedName name="TABELA" localSheetId="6">#REF!</definedName>
    <definedName name="TABELA">#REF!</definedName>
    <definedName name="_xlnm.Print_Titles" localSheetId="4">'CCU (NÃO DESON) '!$1:$13</definedName>
    <definedName name="_xlnm.Print_Titles" localSheetId="8">CRONOGRAMA!$1:$14</definedName>
    <definedName name="_xlnm.Print_Titles" localSheetId="3">'CURVA ABC (NÃO DESON) '!$1:$14</definedName>
    <definedName name="_xlnm.Print_Titles" localSheetId="7">'MEMÓRIA DE CÁLCULO'!$1:$13</definedName>
    <definedName name="_xlnm.Print_Titles" localSheetId="6">'ORÇAMENTO SINTÉTICO (DESON)'!$1:$15</definedName>
    <definedName name="_xlnm.Print_Titles" localSheetId="2">'ORÇAMENTO SINTÉTICO (NÃO DESON)'!$1:$15</definedName>
    <definedName name="TOP" localSheetId="5">#REF!</definedName>
    <definedName name="TOP" localSheetId="0">#REF!</definedName>
    <definedName name="TOP" localSheetId="4">#REF!</definedName>
    <definedName name="TOP" localSheetId="6">#REF!</definedName>
    <definedName name="TOP">#REF!</definedName>
    <definedName name="U" localSheetId="5">#REF!</definedName>
    <definedName name="U" localSheetId="0">#REF!</definedName>
    <definedName name="U" localSheetId="4">#REF!</definedName>
    <definedName name="U" localSheetId="6">#REF!</definedName>
    <definedName name="U">#REF!</definedName>
    <definedName name="V_VENDA" localSheetId="5">#REF!</definedName>
    <definedName name="V_VENDA" localSheetId="0">#REF!</definedName>
    <definedName name="V_VENDA" localSheetId="4">#REF!</definedName>
    <definedName name="V_VENDA" localSheetId="6">#REF!</definedName>
    <definedName name="V_VENDA">#REF!</definedName>
    <definedName name="VENDA_ADOTADA" localSheetId="5">#REF!</definedName>
    <definedName name="VENDA_ADOTADA" localSheetId="0">#REF!</definedName>
    <definedName name="VENDA_ADOTADA" localSheetId="4">#REF!</definedName>
    <definedName name="VENDA_ADOTADA" localSheetId="6">#REF!</definedName>
    <definedName name="VENDA_ADOTADA">#REF!</definedName>
    <definedName name="wrn.Cronograma." localSheetId="5">#REF!</definedName>
    <definedName name="wrn.Cronograma." localSheetId="0">#REF!</definedName>
    <definedName name="wrn.Cronograma." localSheetId="4">#REF!</definedName>
    <definedName name="wrn.Cronograma." localSheetId="6">#REF!</definedName>
    <definedName name="wrn.Cronograma.">#REF!</definedName>
    <definedName name="wrn.GERAL." localSheetId="5">#REF!</definedName>
    <definedName name="wrn.GERAL." localSheetId="0">#REF!</definedName>
    <definedName name="wrn.GERAL." localSheetId="4">#REF!</definedName>
    <definedName name="wrn.GERAL." localSheetId="6">#REF!</definedName>
    <definedName name="wrn.GERAL.">#REF!</definedName>
    <definedName name="wrn.mo2." localSheetId="1">#REF!</definedName>
    <definedName name="wrn.mo2." localSheetId="5">#REF!</definedName>
    <definedName name="wrn.mo2." localSheetId="0">#REF!</definedName>
    <definedName name="wrn.mo2." localSheetId="4">#REF!</definedName>
    <definedName name="wrn.mo2." localSheetId="6">#REF!</definedName>
    <definedName name="wrn.mo2.">#REF!</definedName>
    <definedName name="wrn.PENDENCIAS." localSheetId="5">#REF!</definedName>
    <definedName name="wrn.PENDENCIAS." localSheetId="0">#REF!</definedName>
    <definedName name="wrn.PENDENCIAS." localSheetId="4">#REF!</definedName>
    <definedName name="wrn.PENDENCIAS." localSheetId="6">#REF!</definedName>
    <definedName name="wrn.PENDENCIA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jpYkyQrG60+o0ACU/vNXzfVjO9Hg=="/>
    </ext>
  </extLst>
</workbook>
</file>

<file path=xl/calcChain.xml><?xml version="1.0" encoding="utf-8"?>
<calcChain xmlns="http://schemas.openxmlformats.org/spreadsheetml/2006/main">
  <c r="K133" i="4" l="1"/>
  <c r="K26" i="4"/>
  <c r="K166" i="4"/>
  <c r="K90" i="4"/>
  <c r="K239" i="4"/>
  <c r="K52" i="4"/>
  <c r="K49" i="4"/>
  <c r="K54" i="4"/>
  <c r="K73" i="4"/>
  <c r="K80" i="4"/>
  <c r="K92" i="4"/>
  <c r="K215" i="4"/>
  <c r="K105" i="4"/>
  <c r="K57" i="4"/>
  <c r="K98" i="4"/>
  <c r="K87" i="4"/>
  <c r="K20" i="4"/>
  <c r="K243" i="4"/>
  <c r="K404" i="4"/>
  <c r="K394" i="4"/>
  <c r="K413" i="4"/>
  <c r="K129" i="4"/>
  <c r="K27" i="4"/>
  <c r="K66" i="4"/>
  <c r="K325" i="4"/>
  <c r="K289" i="4"/>
  <c r="K150" i="4"/>
  <c r="K21" i="4"/>
  <c r="K291" i="4"/>
  <c r="K374" i="4"/>
  <c r="K207" i="4"/>
  <c r="K155" i="4"/>
  <c r="K93" i="4"/>
  <c r="K226" i="4"/>
  <c r="K175" i="4"/>
  <c r="K303" i="4"/>
  <c r="K350" i="4"/>
  <c r="K176" i="4"/>
  <c r="K296" i="4"/>
  <c r="K16" i="4"/>
  <c r="K19" i="4"/>
  <c r="K34" i="4"/>
  <c r="K116" i="4"/>
  <c r="K338" i="4"/>
  <c r="K37" i="4"/>
  <c r="K63" i="4"/>
  <c r="K317" i="4"/>
  <c r="K271" i="4"/>
  <c r="K337" i="4"/>
  <c r="K346" i="4"/>
  <c r="K262" i="4"/>
  <c r="K65" i="4"/>
  <c r="K51" i="4"/>
  <c r="K430" i="4"/>
  <c r="K380" i="4"/>
  <c r="K110" i="4"/>
  <c r="K432" i="4"/>
  <c r="K410" i="4"/>
  <c r="K367" i="4"/>
  <c r="K15" i="4"/>
  <c r="K17" i="4"/>
  <c r="K24" i="4"/>
  <c r="K104" i="4"/>
  <c r="K83" i="4"/>
  <c r="K71" i="4"/>
  <c r="K25" i="4"/>
  <c r="K146" i="4"/>
  <c r="K59" i="4"/>
  <c r="K62" i="4"/>
  <c r="K75" i="4"/>
  <c r="K22" i="4"/>
  <c r="K18" i="4"/>
  <c r="K53" i="4"/>
  <c r="K45" i="4"/>
  <c r="K56" i="4"/>
  <c r="K30" i="4"/>
  <c r="K79" i="4"/>
  <c r="K186" i="4"/>
  <c r="K35" i="4"/>
  <c r="K366" i="4"/>
  <c r="K384" i="4"/>
  <c r="K103" i="4"/>
  <c r="K61" i="4"/>
  <c r="K126" i="4"/>
  <c r="K298" i="4"/>
  <c r="K72" i="4"/>
  <c r="K84" i="4"/>
  <c r="K39" i="4"/>
  <c r="K251" i="4"/>
  <c r="K77" i="4"/>
  <c r="K261" i="4"/>
  <c r="K114" i="4"/>
  <c r="K82" i="4"/>
  <c r="K76" i="4"/>
  <c r="K107" i="4"/>
  <c r="K100" i="4"/>
  <c r="K74" i="4"/>
  <c r="K113" i="4"/>
  <c r="K162" i="4"/>
  <c r="K228" i="4"/>
  <c r="K201" i="4"/>
  <c r="K249" i="4"/>
  <c r="K117" i="4"/>
  <c r="K171" i="4"/>
  <c r="K149" i="4"/>
  <c r="K29" i="4"/>
  <c r="K172" i="4"/>
  <c r="K125" i="4"/>
  <c r="K287" i="4"/>
  <c r="K134" i="4"/>
  <c r="K67" i="4"/>
  <c r="K178" i="4"/>
  <c r="K41" i="4"/>
  <c r="K23" i="4"/>
  <c r="K44" i="4"/>
  <c r="K68" i="4"/>
  <c r="K106" i="4"/>
  <c r="K50" i="4"/>
  <c r="K136" i="4"/>
  <c r="K216" i="4"/>
  <c r="K229" i="4"/>
  <c r="K297" i="4"/>
  <c r="K183" i="4"/>
  <c r="K240" i="4"/>
  <c r="K224" i="4"/>
  <c r="K244" i="4"/>
  <c r="K268" i="4"/>
  <c r="K168" i="4"/>
  <c r="K294" i="4"/>
  <c r="K371" i="4"/>
  <c r="K275" i="4"/>
  <c r="K349" i="4"/>
  <c r="K365" i="4"/>
  <c r="K329" i="4"/>
  <c r="K423" i="4"/>
  <c r="K383" i="4"/>
  <c r="K370" i="4"/>
  <c r="K393" i="4"/>
  <c r="K387" i="4"/>
  <c r="K302" i="4"/>
  <c r="K422" i="4"/>
  <c r="K407" i="4"/>
  <c r="K388" i="4"/>
  <c r="K412" i="4"/>
  <c r="K381" i="4"/>
  <c r="K253" i="4"/>
  <c r="K323" i="4"/>
  <c r="K336" i="4"/>
  <c r="K372" i="4"/>
  <c r="K385" i="4"/>
  <c r="K267" i="4"/>
  <c r="K210" i="4"/>
  <c r="K364" i="4"/>
  <c r="K426" i="4"/>
  <c r="K429" i="4"/>
  <c r="K377" i="4"/>
  <c r="K361" i="4"/>
  <c r="K428" i="4"/>
  <c r="K348" i="4"/>
  <c r="K373" i="4"/>
  <c r="K409" i="4"/>
  <c r="K378" i="4"/>
  <c r="K386" i="4"/>
  <c r="K402" i="4"/>
  <c r="K427" i="4"/>
  <c r="K418" i="4"/>
  <c r="K331" i="4"/>
  <c r="K235" i="4"/>
  <c r="K343" i="4"/>
  <c r="K304" i="4"/>
  <c r="K351" i="4"/>
  <c r="K415" i="4"/>
  <c r="K288" i="4"/>
  <c r="K391" i="4"/>
  <c r="K375" i="4"/>
  <c r="K395" i="4"/>
  <c r="K157" i="4"/>
  <c r="K154" i="4"/>
  <c r="K319" i="4"/>
  <c r="K28" i="4"/>
  <c r="K152" i="4"/>
  <c r="K227" i="4"/>
  <c r="K187" i="4"/>
  <c r="K127" i="4"/>
  <c r="K135" i="4"/>
  <c r="K99" i="4"/>
  <c r="K408" i="4"/>
  <c r="K284" i="4"/>
  <c r="K312" i="4"/>
  <c r="K330" i="4"/>
  <c r="K322" i="4"/>
  <c r="K259" i="4"/>
  <c r="K264" i="4"/>
  <c r="K286" i="4"/>
  <c r="K260" i="4"/>
  <c r="K425" i="4"/>
  <c r="K369" i="4"/>
  <c r="K305" i="4"/>
  <c r="K279" i="4"/>
  <c r="K335" i="4"/>
  <c r="K272" i="4"/>
  <c r="K258" i="4"/>
  <c r="K250" i="4"/>
  <c r="K205" i="4"/>
  <c r="K342" i="4"/>
  <c r="K392" i="4"/>
  <c r="K359" i="4"/>
  <c r="K376" i="4"/>
  <c r="K295" i="4"/>
  <c r="K411" i="4"/>
  <c r="K300" i="4"/>
  <c r="K354" i="4"/>
  <c r="K382" i="4"/>
  <c r="K167" i="4"/>
  <c r="K332" i="4"/>
  <c r="K130" i="4"/>
  <c r="K192" i="4"/>
  <c r="K397" i="4"/>
  <c r="K148" i="4"/>
  <c r="K46" i="4"/>
  <c r="K64" i="4"/>
  <c r="K274" i="4"/>
  <c r="K277" i="4"/>
  <c r="K86" i="4"/>
  <c r="K196" i="4"/>
  <c r="K151" i="4"/>
  <c r="K237" i="4"/>
  <c r="K358" i="4"/>
  <c r="K347" i="4"/>
  <c r="K263" i="4"/>
  <c r="K433" i="4"/>
  <c r="K424" i="4"/>
  <c r="K419" i="4"/>
  <c r="K403" i="4"/>
  <c r="K357" i="4"/>
  <c r="K299" i="4"/>
  <c r="K405" i="4"/>
  <c r="K431" i="4"/>
  <c r="K254" i="4"/>
  <c r="K94" i="4"/>
  <c r="K170" i="4"/>
  <c r="K255" i="4"/>
  <c r="K320" i="4"/>
  <c r="K156" i="4"/>
  <c r="K310" i="4"/>
  <c r="K161" i="4"/>
  <c r="K115" i="4"/>
  <c r="K204" i="4"/>
  <c r="K368" i="4"/>
  <c r="K233" i="4"/>
  <c r="K301" i="4"/>
  <c r="K225" i="4"/>
  <c r="K282" i="4"/>
  <c r="K222" i="4"/>
  <c r="K280" i="4"/>
  <c r="K140" i="4"/>
  <c r="K231" i="4"/>
  <c r="K219" i="4"/>
  <c r="K333" i="4"/>
  <c r="K97" i="4"/>
  <c r="K417" i="4"/>
  <c r="K214" i="4"/>
  <c r="K406" i="4"/>
  <c r="K340" i="4"/>
  <c r="K334" i="4"/>
  <c r="K416" i="4"/>
  <c r="K379" i="4"/>
  <c r="K421" i="4"/>
  <c r="K122" i="4"/>
  <c r="K242" i="4"/>
  <c r="K188" i="4"/>
  <c r="K248" i="4"/>
  <c r="K213" i="4"/>
  <c r="K236" i="4"/>
  <c r="K174" i="4"/>
  <c r="K234" i="4"/>
  <c r="K147" i="4"/>
  <c r="K139" i="4"/>
  <c r="K420" i="4"/>
  <c r="K81" i="4"/>
  <c r="K191" i="4"/>
  <c r="K276" i="4"/>
  <c r="K230" i="4"/>
  <c r="K218" i="4"/>
  <c r="K362" i="4"/>
  <c r="K327" i="4"/>
  <c r="K165" i="4"/>
  <c r="K314" i="4"/>
  <c r="K202" i="4"/>
  <c r="K389" i="4"/>
  <c r="K311" i="4"/>
  <c r="K212" i="4"/>
  <c r="K160" i="4"/>
  <c r="K38" i="4"/>
  <c r="K270" i="4"/>
  <c r="K221" i="4"/>
  <c r="K355" i="4"/>
  <c r="K353" i="4"/>
  <c r="K306" i="4"/>
  <c r="K399" i="4"/>
  <c r="K360" i="4"/>
  <c r="K414" i="4"/>
  <c r="K401" i="4"/>
  <c r="K400" i="4"/>
  <c r="K326" i="4"/>
  <c r="K356" i="4"/>
  <c r="K308" i="4"/>
  <c r="K223" i="4"/>
  <c r="K341" i="4"/>
  <c r="K193" i="4"/>
  <c r="K290" i="4"/>
  <c r="K69" i="4"/>
  <c r="K339" i="4"/>
  <c r="K89" i="4"/>
  <c r="K124" i="4"/>
  <c r="K324" i="4"/>
  <c r="K163" i="4"/>
  <c r="K102" i="4"/>
  <c r="K344" i="4"/>
  <c r="K91" i="4"/>
  <c r="K328" i="4"/>
  <c r="K318" i="4"/>
  <c r="K137" i="4"/>
  <c r="K70" i="4"/>
  <c r="K184" i="4"/>
  <c r="K108" i="4"/>
  <c r="K195" i="4"/>
  <c r="K142" i="4"/>
  <c r="K352" i="4"/>
  <c r="K180" i="4"/>
  <c r="K189" i="4"/>
  <c r="K131" i="4"/>
  <c r="K36" i="4"/>
  <c r="K169" i="4"/>
  <c r="K232" i="4"/>
  <c r="K396" i="4"/>
  <c r="K217" i="4"/>
  <c r="K390" i="4"/>
  <c r="K246" i="4"/>
  <c r="K281" i="4"/>
  <c r="K309" i="4"/>
  <c r="K269" i="4"/>
  <c r="K283" i="4"/>
  <c r="K307" i="4"/>
  <c r="K190" i="4"/>
  <c r="K138" i="4"/>
  <c r="K145" i="4"/>
  <c r="K266" i="4"/>
  <c r="K179" i="4"/>
  <c r="K181" i="4"/>
  <c r="K78" i="4"/>
  <c r="K245" i="4"/>
  <c r="K256" i="4"/>
  <c r="K345" i="4"/>
  <c r="K278" i="4"/>
  <c r="K198" i="4"/>
  <c r="K177" i="4"/>
  <c r="K321" i="4"/>
  <c r="K118" i="4"/>
  <c r="K197" i="4"/>
  <c r="K182" i="4"/>
  <c r="K363" i="4"/>
  <c r="K398" i="4"/>
  <c r="K211" i="4"/>
  <c r="K313" i="4"/>
  <c r="K119" i="4"/>
  <c r="K48" i="4"/>
  <c r="K252" i="4"/>
  <c r="K85" i="4"/>
  <c r="K241" i="4"/>
  <c r="K220" i="4"/>
  <c r="K316" i="4"/>
  <c r="K209" i="4"/>
  <c r="K293" i="4"/>
  <c r="K285" i="4"/>
  <c r="K265" i="4"/>
  <c r="K185" i="4"/>
  <c r="K315" i="4"/>
  <c r="K121" i="4"/>
  <c r="K273" i="4"/>
  <c r="K206" i="4"/>
  <c r="K208" i="4"/>
  <c r="K128" i="4"/>
  <c r="K101" i="4"/>
  <c r="K32" i="4"/>
  <c r="K247" i="4"/>
  <c r="K257" i="4"/>
  <c r="K194" i="4"/>
  <c r="K203" i="4"/>
  <c r="K144" i="4"/>
  <c r="K141" i="4"/>
  <c r="K238" i="4"/>
  <c r="K292" i="4"/>
  <c r="K200" i="4"/>
  <c r="K143" i="4"/>
  <c r="K55" i="4"/>
  <c r="K96" i="4"/>
  <c r="K158" i="4"/>
  <c r="K132" i="4"/>
  <c r="K112" i="4"/>
  <c r="K173" i="4"/>
  <c r="K109" i="4"/>
  <c r="K60" i="4"/>
  <c r="K199" i="4"/>
  <c r="K111" i="4"/>
  <c r="K123" i="4"/>
  <c r="K58" i="4"/>
  <c r="K153" i="4"/>
  <c r="K47" i="4"/>
  <c r="K164" i="4"/>
  <c r="K88" i="4"/>
  <c r="K95" i="4"/>
  <c r="K33" i="4"/>
  <c r="K40" i="4"/>
  <c r="K31" i="4"/>
  <c r="K42" i="4"/>
  <c r="K43" i="4"/>
  <c r="K120" i="4"/>
  <c r="K159" i="4"/>
  <c r="C2823" i="5" l="1"/>
  <c r="C2294" i="5" l="1"/>
  <c r="C2274" i="5"/>
  <c r="C2249" i="5"/>
  <c r="C2244" i="5"/>
  <c r="C2786" i="5"/>
  <c r="C2801" i="5" s="1"/>
  <c r="C2816" i="5" s="1"/>
  <c r="E2801" i="5"/>
  <c r="E2786" i="5"/>
  <c r="C2785" i="5"/>
  <c r="C2800" i="5" s="1"/>
  <c r="C2808" i="5" s="1"/>
  <c r="C2778" i="5"/>
  <c r="C2777" i="5"/>
  <c r="C117" i="5"/>
  <c r="C134" i="5" s="1"/>
  <c r="C136" i="5"/>
  <c r="C133" i="5"/>
  <c r="C118" i="5"/>
  <c r="C135" i="5" s="1"/>
  <c r="C2809" i="5" l="1"/>
  <c r="C553" i="5"/>
  <c r="G1916" i="5"/>
  <c r="C2511" i="5"/>
  <c r="C2458" i="5"/>
  <c r="C2357" i="5"/>
  <c r="C2352" i="5"/>
  <c r="C2386" i="5"/>
  <c r="C2222" i="5"/>
  <c r="C2207" i="5"/>
  <c r="C2227" i="5"/>
  <c r="C2212" i="5"/>
  <c r="C2202" i="5"/>
  <c r="C2197" i="5"/>
  <c r="C2192" i="5"/>
  <c r="C2187" i="5"/>
  <c r="C2165" i="5"/>
  <c r="C2160" i="5"/>
  <c r="C2031" i="5"/>
  <c r="C2150" i="5"/>
  <c r="C2145" i="5"/>
  <c r="C2140" i="5"/>
  <c r="C2103" i="5"/>
  <c r="C2073" i="5"/>
  <c r="C2068" i="5"/>
  <c r="C2063" i="5"/>
  <c r="C558" i="5"/>
  <c r="C1631" i="5"/>
  <c r="C1641" i="5"/>
  <c r="C1636" i="5"/>
  <c r="C1666" i="5"/>
  <c r="C1671" i="5"/>
  <c r="C1554" i="5"/>
  <c r="C1584" i="5"/>
  <c r="C1559" i="5"/>
  <c r="C1534" i="5"/>
  <c r="C1479" i="5"/>
  <c r="C1327" i="5"/>
  <c r="C1322" i="5"/>
  <c r="C1152" i="5"/>
  <c r="C1157" i="5"/>
  <c r="C1147" i="5"/>
  <c r="E2647" i="5"/>
  <c r="E2692" i="5" s="1"/>
  <c r="E406" i="5"/>
  <c r="C406" i="5"/>
  <c r="G399" i="5"/>
  <c r="C401" i="5" s="1"/>
  <c r="C394" i="5"/>
  <c r="C321" i="5"/>
  <c r="C319" i="5"/>
  <c r="C318" i="5"/>
  <c r="C301" i="5"/>
  <c r="G291" i="5"/>
  <c r="E328" i="5" s="1"/>
  <c r="G284" i="5"/>
  <c r="E329" i="5" s="1"/>
  <c r="C269" i="5"/>
  <c r="C260" i="5"/>
  <c r="C262" i="5" s="1"/>
  <c r="C255" i="5"/>
  <c r="C245" i="5"/>
  <c r="C248" i="5" s="1"/>
  <c r="G238" i="5"/>
  <c r="K238" i="5" s="1"/>
  <c r="K237" i="5"/>
  <c r="K236" i="5"/>
  <c r="G229" i="5"/>
  <c r="C231" i="5" s="1"/>
  <c r="G222" i="5"/>
  <c r="C224" i="5" s="1"/>
  <c r="C217" i="5"/>
  <c r="C208" i="5"/>
  <c r="G208" i="5" s="1"/>
  <c r="C206" i="5"/>
  <c r="G206" i="5" s="1"/>
  <c r="C196" i="5"/>
  <c r="C199" i="5" s="1"/>
  <c r="C186" i="5"/>
  <c r="C189" i="5" s="1"/>
  <c r="I169" i="5"/>
  <c r="I284" i="5" s="1"/>
  <c r="G169" i="5"/>
  <c r="I168" i="5"/>
  <c r="I283" i="5" s="1"/>
  <c r="G154" i="5"/>
  <c r="G153" i="5"/>
  <c r="E146" i="5"/>
  <c r="E169" i="5" s="1"/>
  <c r="E284" i="5" s="1"/>
  <c r="E292" i="5" s="1"/>
  <c r="C146" i="5"/>
  <c r="C154" i="5" s="1"/>
  <c r="G145" i="5"/>
  <c r="G168" i="5" s="1"/>
  <c r="E145" i="5"/>
  <c r="E153" i="5" s="1"/>
  <c r="C145" i="5"/>
  <c r="C153" i="5" s="1"/>
  <c r="C138" i="5"/>
  <c r="C276" i="5" s="1"/>
  <c r="C240" i="5" l="1"/>
  <c r="G406" i="5"/>
  <c r="C408" i="5" s="1"/>
  <c r="C413" i="5" s="1"/>
  <c r="G413" i="5" s="1"/>
  <c r="C415" i="5" s="1"/>
  <c r="C320" i="5"/>
  <c r="C323" i="5" s="1"/>
  <c r="I153" i="5"/>
  <c r="G292" i="5"/>
  <c r="G306" i="5"/>
  <c r="I291" i="5"/>
  <c r="G328" i="5" s="1"/>
  <c r="C168" i="5"/>
  <c r="C283" i="5" s="1"/>
  <c r="C306" i="5" s="1"/>
  <c r="G307" i="5"/>
  <c r="G329" i="5"/>
  <c r="I292" i="5"/>
  <c r="E307" i="5"/>
  <c r="C207" i="5"/>
  <c r="G207" i="5" s="1"/>
  <c r="C210" i="5" s="1"/>
  <c r="K145" i="5"/>
  <c r="E168" i="5"/>
  <c r="C169" i="5"/>
  <c r="E154" i="5"/>
  <c r="I154" i="5" s="1"/>
  <c r="K146" i="5"/>
  <c r="C156" i="5" l="1"/>
  <c r="C291" i="5"/>
  <c r="K169" i="5"/>
  <c r="C284" i="5"/>
  <c r="K168" i="5"/>
  <c r="E283" i="5"/>
  <c r="C148" i="5"/>
  <c r="C163" i="5" s="1"/>
  <c r="C174" i="5" s="1"/>
  <c r="C171" i="5" l="1"/>
  <c r="F174" i="5" s="1"/>
  <c r="H174" i="5" s="1"/>
  <c r="C176" i="5" s="1"/>
  <c r="E306" i="5"/>
  <c r="I306" i="5" s="1"/>
  <c r="E291" i="5"/>
  <c r="K283" i="5"/>
  <c r="K284" i="5"/>
  <c r="C292" i="5"/>
  <c r="C307" i="5"/>
  <c r="I307" i="5" s="1"/>
  <c r="C286" i="5" l="1"/>
  <c r="C328" i="5"/>
  <c r="I328" i="5" s="1"/>
  <c r="K291" i="5"/>
  <c r="C329" i="5"/>
  <c r="I329" i="5" s="1"/>
  <c r="K292" i="5"/>
  <c r="C309" i="5"/>
  <c r="C294" i="5" l="1"/>
  <c r="C331" i="5"/>
  <c r="C344" i="5" l="1"/>
  <c r="C349" i="5" s="1"/>
  <c r="C563" i="5"/>
  <c r="E1066" i="5"/>
  <c r="E1067" i="5"/>
  <c r="E1068" i="5"/>
  <c r="E1069" i="5"/>
  <c r="E1065" i="5"/>
  <c r="G1066" i="5"/>
  <c r="G1067" i="5"/>
  <c r="G1068" i="5"/>
  <c r="G1069" i="5"/>
  <c r="G1065" i="5"/>
  <c r="C1069" i="5"/>
  <c r="C1065" i="5"/>
  <c r="D1069" i="5"/>
  <c r="D1068" i="5"/>
  <c r="D1067" i="5"/>
  <c r="D1066" i="5"/>
  <c r="C433" i="5"/>
  <c r="I447" i="5"/>
  <c r="C446" i="5"/>
  <c r="I446" i="5" s="1"/>
  <c r="C445" i="5"/>
  <c r="C1067" i="5" s="1"/>
  <c r="C444" i="5"/>
  <c r="C1066" i="5" s="1"/>
  <c r="C356" i="5" l="1"/>
  <c r="C385" i="5"/>
  <c r="K1067" i="5"/>
  <c r="K1065" i="5"/>
  <c r="I445" i="5"/>
  <c r="C1068" i="5"/>
  <c r="K1068" i="5" s="1"/>
  <c r="K1069" i="5"/>
  <c r="I444" i="5"/>
  <c r="K1066" i="5"/>
  <c r="C1060" i="5"/>
  <c r="C1833" i="5"/>
  <c r="C1842" i="5" s="1"/>
  <c r="C1828" i="5"/>
  <c r="C1071" i="5" l="1"/>
  <c r="G1811" i="5"/>
  <c r="C1813" i="5" s="1"/>
  <c r="G1804" i="5"/>
  <c r="C1806" i="5" s="1"/>
  <c r="C1797" i="5"/>
  <c r="C1799" i="5" s="1"/>
  <c r="C1792" i="5"/>
  <c r="C1771" i="5"/>
  <c r="C1770" i="5"/>
  <c r="C1780" i="5"/>
  <c r="C1762" i="5"/>
  <c r="C1764" i="5" s="1"/>
  <c r="C1752" i="5"/>
  <c r="C1742" i="5"/>
  <c r="C1734" i="5"/>
  <c r="C1723" i="5"/>
  <c r="C1727" i="5" s="1"/>
  <c r="C1718" i="5"/>
  <c r="C1706" i="5"/>
  <c r="C1696" i="5"/>
  <c r="C1698" i="5" s="1"/>
  <c r="C2851" i="5"/>
  <c r="C1689" i="5"/>
  <c r="C1691" i="5" s="1"/>
  <c r="I2567" i="5"/>
  <c r="I2566" i="5"/>
  <c r="C1711" i="5" l="1"/>
  <c r="C1773" i="5"/>
  <c r="C1785" i="5"/>
  <c r="C1757" i="5"/>
  <c r="C1818" i="5" s="1"/>
  <c r="C1823" i="5" s="1"/>
  <c r="C2569" i="5"/>
  <c r="B1011" i="5"/>
  <c r="B1010" i="5"/>
  <c r="C571" i="5" l="1"/>
  <c r="C26" i="5"/>
  <c r="C2637" i="5"/>
  <c r="C754" i="5"/>
  <c r="C769" i="5"/>
  <c r="C770" i="5"/>
  <c r="C772" i="5" l="1"/>
  <c r="C731" i="5"/>
  <c r="E706" i="5"/>
  <c r="C706" i="5"/>
  <c r="C630" i="5"/>
  <c r="C631" i="5"/>
  <c r="C632" i="5"/>
  <c r="C633" i="5"/>
  <c r="C634" i="5"/>
  <c r="C635" i="5"/>
  <c r="C636" i="5"/>
  <c r="C637" i="5"/>
  <c r="C638" i="5"/>
  <c r="C639" i="5"/>
  <c r="C640" i="5"/>
  <c r="C641" i="5"/>
  <c r="C642" i="5"/>
  <c r="C643" i="5"/>
  <c r="C644" i="5"/>
  <c r="C645" i="5"/>
  <c r="C646" i="5"/>
  <c r="C647" i="5"/>
  <c r="C629" i="5"/>
  <c r="C667" i="5"/>
  <c r="C668" i="5"/>
  <c r="C669" i="5"/>
  <c r="C670" i="5"/>
  <c r="C671" i="5"/>
  <c r="C672" i="5"/>
  <c r="C666" i="5"/>
  <c r="C649" i="5" l="1"/>
  <c r="C674" i="5"/>
  <c r="C462" i="5"/>
  <c r="G462" i="5" s="1"/>
  <c r="G457" i="5"/>
  <c r="G456" i="5"/>
  <c r="E457" i="5"/>
  <c r="E456" i="5"/>
  <c r="C457" i="5"/>
  <c r="C456" i="5"/>
  <c r="G2583" i="5"/>
  <c r="G2584" i="5"/>
  <c r="C2586" i="5" l="1"/>
  <c r="G1079" i="5"/>
  <c r="G1078" i="5"/>
  <c r="C1077" i="5"/>
  <c r="G1077" i="5" s="1"/>
  <c r="C1076" i="5"/>
  <c r="G1076" i="5" s="1"/>
  <c r="C482" i="5"/>
  <c r="I942" i="5"/>
  <c r="I941" i="5"/>
  <c r="I940" i="5"/>
  <c r="G1041" i="5"/>
  <c r="G1040" i="5"/>
  <c r="G1039" i="5"/>
  <c r="G1038" i="5"/>
  <c r="G1037" i="5"/>
  <c r="G1036" i="5"/>
  <c r="G1035" i="5"/>
  <c r="G1017" i="5"/>
  <c r="G1016" i="5"/>
  <c r="I1005" i="5"/>
  <c r="E1002" i="5"/>
  <c r="E1003" i="5"/>
  <c r="E1004" i="5"/>
  <c r="E1005" i="5"/>
  <c r="E1001" i="5"/>
  <c r="C1002" i="5"/>
  <c r="C1003" i="5"/>
  <c r="C1004" i="5"/>
  <c r="C1005" i="5"/>
  <c r="C1001" i="5"/>
  <c r="C994" i="5"/>
  <c r="I969" i="5"/>
  <c r="C722" i="5"/>
  <c r="I984" i="5"/>
  <c r="G902" i="5"/>
  <c r="C718" i="5"/>
  <c r="C717" i="5"/>
  <c r="C716" i="5"/>
  <c r="C715" i="5"/>
  <c r="C714" i="5"/>
  <c r="C713" i="5"/>
  <c r="C861" i="5"/>
  <c r="G876" i="5" s="1"/>
  <c r="E851" i="5"/>
  <c r="C851" i="5"/>
  <c r="E850" i="5"/>
  <c r="C850" i="5"/>
  <c r="E849" i="5"/>
  <c r="C849" i="5"/>
  <c r="E848" i="5"/>
  <c r="C848" i="5"/>
  <c r="E847" i="5"/>
  <c r="C847" i="5"/>
  <c r="C846" i="5"/>
  <c r="C819" i="5"/>
  <c r="E846" i="5"/>
  <c r="G875" i="5"/>
  <c r="C860" i="5"/>
  <c r="C811" i="5"/>
  <c r="C944" i="5" l="1"/>
  <c r="C1081" i="5"/>
  <c r="K1005" i="5"/>
  <c r="C1019" i="5"/>
  <c r="C986" i="5"/>
  <c r="C863" i="5"/>
  <c r="C536" i="5" l="1"/>
  <c r="C538" i="5" s="1"/>
  <c r="C529" i="5"/>
  <c r="C531" i="5" s="1"/>
  <c r="C2337" i="5" l="1"/>
  <c r="C9" i="16" l="1"/>
  <c r="C6" i="16"/>
  <c r="C5" i="16"/>
  <c r="A3" i="16"/>
  <c r="B6" i="15"/>
  <c r="B5" i="15"/>
  <c r="E9" i="15"/>
  <c r="B9" i="15"/>
  <c r="A3" i="15"/>
  <c r="G9" i="7" l="1"/>
  <c r="B9" i="7"/>
  <c r="B6" i="7"/>
  <c r="B5" i="7"/>
  <c r="A3" i="7"/>
  <c r="C6" i="5"/>
  <c r="C5" i="5"/>
  <c r="A3" i="5"/>
  <c r="C9" i="5"/>
  <c r="J9" i="5"/>
  <c r="H9" i="4" l="1"/>
  <c r="C9" i="4"/>
  <c r="C6" i="4"/>
  <c r="C5" i="4"/>
  <c r="B10" i="11"/>
  <c r="B13" i="2"/>
  <c r="J6" i="16" l="1"/>
  <c r="G6" i="15"/>
  <c r="I6" i="7"/>
  <c r="M6" i="5"/>
  <c r="J6" i="4"/>
  <c r="G2497" i="5" l="1"/>
  <c r="C2499" i="5" s="1"/>
  <c r="B14" i="14" l="1"/>
  <c r="G5" i="15" l="1"/>
  <c r="M5" i="5"/>
  <c r="I5" i="7"/>
  <c r="J5" i="4"/>
  <c r="J5" i="3"/>
  <c r="C109" i="5"/>
  <c r="C95" i="5"/>
  <c r="I95" i="5" s="1"/>
  <c r="C97" i="5" s="1"/>
  <c r="C104" i="5" s="1"/>
  <c r="E507" i="5" l="1"/>
  <c r="G507" i="5" s="1"/>
  <c r="G506" i="5"/>
  <c r="G505" i="5"/>
  <c r="C509" i="5" l="1"/>
  <c r="C578" i="5" s="1"/>
  <c r="C587" i="5" s="1"/>
  <c r="G587" i="5" s="1"/>
  <c r="C589" i="5" s="1"/>
  <c r="G578" i="5" l="1"/>
  <c r="C580" i="5" s="1"/>
  <c r="G76" i="5"/>
  <c r="C78" i="5" s="1"/>
  <c r="C2438" i="5" l="1"/>
  <c r="C1938" i="5"/>
  <c r="C524" i="5" l="1"/>
  <c r="G2830" i="5" l="1"/>
  <c r="G2837" i="5" s="1"/>
  <c r="G2844" i="5" s="1"/>
  <c r="I2823" i="5"/>
  <c r="C2825" i="5" s="1"/>
  <c r="K2837" i="5" l="1"/>
  <c r="C2839" i="5" s="1"/>
  <c r="I2830" i="5"/>
  <c r="C2832" i="5" s="1"/>
  <c r="I2844" i="5" l="1"/>
  <c r="C2846" i="5" s="1"/>
  <c r="G692" i="5" l="1"/>
  <c r="G691" i="5"/>
  <c r="B14" i="11" l="1"/>
  <c r="J5" i="16" s="1"/>
  <c r="A3" i="4" l="1"/>
  <c r="E2800" i="5" l="1"/>
  <c r="G69" i="5"/>
  <c r="C71" i="5" s="1"/>
  <c r="I2801" i="5" l="1"/>
  <c r="I2800" i="5"/>
  <c r="C2803" i="5" l="1"/>
  <c r="E2809" i="5"/>
  <c r="I2809" i="5" s="1"/>
  <c r="E2785" i="5"/>
  <c r="E2808" i="5" s="1"/>
  <c r="I2808" i="5" s="1"/>
  <c r="G2778" i="5"/>
  <c r="G2777" i="5"/>
  <c r="C2811" i="5" l="1"/>
  <c r="C2780" i="5"/>
  <c r="I2785" i="5"/>
  <c r="I2786" i="5"/>
  <c r="C2788" i="5" l="1"/>
  <c r="C2795" i="5" s="1"/>
  <c r="G2599" i="5" l="1"/>
  <c r="G2598" i="5"/>
  <c r="C2396" i="5"/>
  <c r="C2345" i="5"/>
  <c r="C1941" i="5"/>
  <c r="C1931" i="5"/>
  <c r="I1919" i="5"/>
  <c r="I1918" i="5"/>
  <c r="G1917" i="5"/>
  <c r="I1917" i="5" s="1"/>
  <c r="I1916" i="5"/>
  <c r="C2601" i="5" l="1"/>
  <c r="C1943" i="5"/>
  <c r="C1921" i="5"/>
  <c r="G2647" i="5" l="1"/>
  <c r="C121" i="5"/>
  <c r="C2767" i="5" l="1"/>
  <c r="C2760" i="5"/>
  <c r="C2753" i="5"/>
  <c r="C2746" i="5"/>
  <c r="B2744" i="5"/>
  <c r="C2739" i="5"/>
  <c r="C2730" i="5"/>
  <c r="C2715" i="5"/>
  <c r="C2701" i="5"/>
  <c r="G2685" i="5"/>
  <c r="I2670" i="5"/>
  <c r="G2670" i="5"/>
  <c r="G2727" i="5" s="1"/>
  <c r="E2670" i="5"/>
  <c r="C2670" i="5"/>
  <c r="C2692" i="5" s="1"/>
  <c r="I2669" i="5"/>
  <c r="I2685" i="5" s="1"/>
  <c r="G2669" i="5"/>
  <c r="E2669" i="5"/>
  <c r="E2685" i="5" s="1"/>
  <c r="C2669" i="5"/>
  <c r="G2655" i="5"/>
  <c r="E2655" i="5"/>
  <c r="C2655" i="5"/>
  <c r="G2654" i="5"/>
  <c r="E2654" i="5"/>
  <c r="C2654" i="5"/>
  <c r="K2647" i="5"/>
  <c r="K2646" i="5"/>
  <c r="E2720" i="5" l="1"/>
  <c r="E2727" i="5" s="1"/>
  <c r="I2720" i="5"/>
  <c r="I2727" i="5" s="1"/>
  <c r="G2692" i="5"/>
  <c r="I2654" i="5"/>
  <c r="C2649" i="5"/>
  <c r="C2664" i="5" s="1"/>
  <c r="C2678" i="5" s="1"/>
  <c r="I2655" i="5"/>
  <c r="K2669" i="5"/>
  <c r="K2670" i="5"/>
  <c r="C2685" i="5"/>
  <c r="C2706" i="5"/>
  <c r="E2706" i="5"/>
  <c r="C2720" i="5"/>
  <c r="C2657" i="5" l="1"/>
  <c r="I2692" i="5"/>
  <c r="G2706" i="5"/>
  <c r="C2708" i="5" s="1"/>
  <c r="C2672" i="5"/>
  <c r="C2727" i="5"/>
  <c r="K2727" i="5" s="1"/>
  <c r="C2732" i="5" s="1"/>
  <c r="K2720" i="5"/>
  <c r="C2722" i="5" s="1"/>
  <c r="K2685" i="5"/>
  <c r="C2687" i="5" s="1"/>
  <c r="C2694" i="5" l="1"/>
  <c r="C2675" i="5" s="1"/>
  <c r="G2675" i="5" s="1"/>
  <c r="F2678" i="5" s="1"/>
  <c r="H2678" i="5" s="1"/>
  <c r="C2680" i="5" s="1"/>
  <c r="D1065" i="5" l="1"/>
  <c r="G489" i="5" l="1"/>
  <c r="G496" i="5" s="1"/>
  <c r="E489" i="5"/>
  <c r="E496" i="5" s="1"/>
  <c r="I482" i="5"/>
  <c r="C484" i="5" s="1"/>
  <c r="C489" i="5" l="1"/>
  <c r="C740" i="5"/>
  <c r="C749" i="5"/>
  <c r="C721" i="5"/>
  <c r="C720" i="5"/>
  <c r="C719" i="5"/>
  <c r="K1041" i="5"/>
  <c r="K1040" i="5"/>
  <c r="K1039" i="5"/>
  <c r="K1038" i="5"/>
  <c r="K1037" i="5"/>
  <c r="K1036" i="5"/>
  <c r="K1035" i="5"/>
  <c r="I1004" i="5"/>
  <c r="C883" i="5"/>
  <c r="I968" i="5"/>
  <c r="C885" i="5"/>
  <c r="C884" i="5"/>
  <c r="I959" i="5"/>
  <c r="I958" i="5"/>
  <c r="I933" i="5"/>
  <c r="I932" i="5"/>
  <c r="I925" i="5"/>
  <c r="I924" i="5"/>
  <c r="I923" i="5"/>
  <c r="I922" i="5"/>
  <c r="I921" i="5"/>
  <c r="I920" i="5"/>
  <c r="I919" i="5"/>
  <c r="I910" i="5"/>
  <c r="C912" i="5" s="1"/>
  <c r="I903" i="5"/>
  <c r="I902" i="5"/>
  <c r="I901" i="5"/>
  <c r="C935" i="5" l="1"/>
  <c r="C887" i="5"/>
  <c r="C961" i="5"/>
  <c r="I489" i="5"/>
  <c r="C491" i="5" s="1"/>
  <c r="C496" i="5"/>
  <c r="I496" i="5" s="1"/>
  <c r="C498" i="5" s="1"/>
  <c r="G740" i="5"/>
  <c r="C742" i="5" s="1"/>
  <c r="C1043" i="5"/>
  <c r="K1004" i="5"/>
  <c r="I949" i="5"/>
  <c r="C927" i="5"/>
  <c r="C905" i="5"/>
  <c r="C951" i="5" l="1"/>
  <c r="C841" i="5" l="1"/>
  <c r="C868" i="5" s="1"/>
  <c r="C834" i="5"/>
  <c r="C827" i="5"/>
  <c r="K875" i="5" l="1"/>
  <c r="C724" i="5"/>
  <c r="G850" i="5"/>
  <c r="G847" i="5"/>
  <c r="G851" i="5"/>
  <c r="G849" i="5"/>
  <c r="G848" i="5"/>
  <c r="K876" i="5"/>
  <c r="C878" i="5" l="1"/>
  <c r="I2559" i="5" l="1"/>
  <c r="I2558" i="5"/>
  <c r="I2557" i="5"/>
  <c r="I2555" i="5"/>
  <c r="I2546" i="5"/>
  <c r="I2545" i="5"/>
  <c r="I2544" i="5"/>
  <c r="I2534" i="5"/>
  <c r="I2532" i="5"/>
  <c r="I2529" i="5"/>
  <c r="G2591" i="5"/>
  <c r="C2593" i="5" s="1"/>
  <c r="C477" i="5" l="1"/>
  <c r="C1046" i="5" s="1"/>
  <c r="C517" i="5" l="1"/>
  <c r="C792" i="5"/>
  <c r="I792" i="5" s="1"/>
  <c r="I443" i="5"/>
  <c r="C449" i="5" s="1"/>
  <c r="C661" i="5"/>
  <c r="C794" i="5" l="1"/>
  <c r="C756" i="5"/>
  <c r="C624" i="5" l="1"/>
  <c r="C1095" i="5" l="1"/>
  <c r="G1046" i="5" l="1"/>
  <c r="C1048" i="5" s="1"/>
  <c r="I2530" i="5"/>
  <c r="I2531" i="5"/>
  <c r="I2533" i="5"/>
  <c r="I2535" i="5"/>
  <c r="I2536" i="5"/>
  <c r="I2537" i="5"/>
  <c r="I2538" i="5"/>
  <c r="I2539" i="5"/>
  <c r="I2540" i="5"/>
  <c r="I2541" i="5"/>
  <c r="I2542" i="5"/>
  <c r="I2543" i="5"/>
  <c r="I2547" i="5"/>
  <c r="I2552" i="5"/>
  <c r="I2553" i="5"/>
  <c r="I2554" i="5"/>
  <c r="I2556" i="5"/>
  <c r="I2560" i="5"/>
  <c r="I2561" i="5"/>
  <c r="I2528" i="5"/>
  <c r="C2549" i="5" l="1"/>
  <c r="C2563" i="5"/>
  <c r="C438" i="5"/>
  <c r="C2571" i="5" l="1"/>
  <c r="C1010" i="5"/>
  <c r="C1011" i="5" l="1"/>
  <c r="G1011" i="5" s="1"/>
  <c r="G1010" i="5"/>
  <c r="C1013" i="5" l="1"/>
  <c r="C1028" i="5" s="1"/>
  <c r="I1002" i="5"/>
  <c r="I1003" i="5"/>
  <c r="I1001" i="5"/>
  <c r="I967" i="5"/>
  <c r="I970" i="5"/>
  <c r="K1003" i="5" l="1"/>
  <c r="I966" i="5" l="1"/>
  <c r="C972" i="5" s="1"/>
  <c r="I977" i="5"/>
  <c r="C979" i="5" s="1"/>
  <c r="C1086" i="5" l="1"/>
  <c r="G1086" i="5" s="1"/>
  <c r="G1088" i="5"/>
  <c r="G1087" i="5"/>
  <c r="G706" i="5"/>
  <c r="I699" i="5"/>
  <c r="C764" i="5"/>
  <c r="C2858" i="5" s="1"/>
  <c r="C777" i="5"/>
  <c r="I457" i="5"/>
  <c r="I456" i="5"/>
  <c r="C778" i="5" l="1"/>
  <c r="C780" i="5" s="1"/>
  <c r="C459" i="5"/>
  <c r="C1090" i="5"/>
  <c r="C708" i="5"/>
  <c r="C701" i="5"/>
  <c r="C464" i="5" l="1"/>
  <c r="C470" i="5" s="1"/>
  <c r="G2576" i="5"/>
  <c r="C2578" i="5" l="1"/>
  <c r="C787" i="5" l="1"/>
  <c r="C799" i="5" s="1"/>
  <c r="G799" i="5" s="1"/>
  <c r="C801" i="5" s="1"/>
  <c r="C387" i="5" l="1"/>
  <c r="C351" i="5"/>
  <c r="C372" i="5"/>
  <c r="C378" i="5" s="1"/>
  <c r="G684" i="5" l="1"/>
  <c r="C896" i="5" l="1"/>
  <c r="I423" i="5" l="1"/>
  <c r="G731" i="5" l="1"/>
  <c r="C733" i="5" s="1"/>
  <c r="I422" i="5" l="1"/>
  <c r="C428" i="5" s="1"/>
  <c r="K1002" i="5" l="1"/>
  <c r="K1001" i="5"/>
  <c r="C1007" i="5" l="1"/>
  <c r="C1021" i="5" s="1"/>
  <c r="C1027" i="5" s="1"/>
  <c r="C1030" i="5" s="1"/>
  <c r="G846" i="5" l="1"/>
  <c r="C853" i="5" s="1"/>
  <c r="C686" i="5" l="1"/>
  <c r="G356" i="5"/>
  <c r="B351" i="5"/>
  <c r="C2864" i="5"/>
  <c r="G62" i="5"/>
  <c r="C64" i="5" s="1"/>
  <c r="G55" i="5"/>
  <c r="C57" i="5" s="1"/>
  <c r="I48" i="5"/>
  <c r="C50" i="5" s="1"/>
  <c r="G26" i="5"/>
  <c r="C28" i="5" s="1"/>
  <c r="G19" i="5"/>
  <c r="C21" i="5" s="1"/>
  <c r="C358" i="5" l="1"/>
  <c r="C363" i="5" s="1"/>
  <c r="C365" i="5" s="1"/>
  <c r="J6" i="3"/>
  <c r="C377" i="5"/>
  <c r="C694" i="5"/>
  <c r="C870" i="5"/>
  <c r="C380" i="5" l="1"/>
</calcChain>
</file>

<file path=xl/sharedStrings.xml><?xml version="1.0" encoding="utf-8"?>
<sst xmlns="http://schemas.openxmlformats.org/spreadsheetml/2006/main" count="13178" uniqueCount="2517">
  <si>
    <t>CÁLCULO DE BDI</t>
  </si>
  <si>
    <t>Construção e Reforma de quaisquer Edificações inclusive Unidades Habitacionais, Escolas, Hospitais, de uso Agropecuário, Estações p/Trens/Metrôs, Estádios e Quadras Esportivas Instalações p/Embarque/Desembarque de passageiros em Aeroportos, Rodoviárias, Portos, etc., Pórticos, Mirantes e outros Edifícios de finalidade turística</t>
  </si>
  <si>
    <t xml:space="preserve">Construção de Rodovias, Ferrovias, Pistas de Aeroportos, Pontes, Viadutos, Metrôs, Túneis, Barreiras Acústicas, Praças de Pedágio, Sinalização de Rodovias e Aeroportos, Placas de Sinalização de Tráfego e Semelhantes, Infra Viária Urbana, Estacionamento de Veículos, Praças, Calçadas p/Pedestres, Elevados, Passarelas, Ciclovias e VLT </t>
  </si>
  <si>
    <t>Abastecimento de Água, Coleta de Esgoto</t>
  </si>
  <si>
    <t>Fornecimento de materiais e equipamentos</t>
  </si>
  <si>
    <t>Construção e Manutenção de Estações e Redes de Distribuição de Energia Elétrica</t>
  </si>
  <si>
    <t>Portuárias, Marítimas e Fluviais</t>
  </si>
  <si>
    <t>Item componente do BDI</t>
  </si>
  <si>
    <t>% Informado</t>
  </si>
  <si>
    <t>1ºQ</t>
  </si>
  <si>
    <t>Médio</t>
  </si>
  <si>
    <t>3º Q</t>
  </si>
  <si>
    <t>Administração Central ( AC )</t>
  </si>
  <si>
    <t>7.85</t>
  </si>
  <si>
    <t>Seguro (S) e Garantia (G)</t>
  </si>
  <si>
    <t>Risco (R)</t>
  </si>
  <si>
    <t>Despesas Financeiras (DF)</t>
  </si>
  <si>
    <t>Lucro (L)</t>
  </si>
  <si>
    <t>Impostos (I) - PIS, COFINS, ISSQN, CPRB</t>
  </si>
  <si>
    <t>Conforme Legislação Específica</t>
  </si>
  <si>
    <t>VALORES DE BDI POR TIPO DE OBRA</t>
  </si>
  <si>
    <t>Tipo de Obra</t>
  </si>
  <si>
    <t>B.D.I  =</t>
  </si>
  <si>
    <t>Construção de Edifícios</t>
  </si>
  <si>
    <t>Fórmula Utilizada:</t>
  </si>
  <si>
    <t>Construção de Rodovias e Ferrovias</t>
  </si>
  <si>
    <t>Rede de Abastecimento de Água, Coleta de Esgotos</t>
  </si>
  <si>
    <t>Estações e Redes de Distribuição de Energia Elétrica</t>
  </si>
  <si>
    <t>Obras Portuárias, Marítimas e Fluviais</t>
  </si>
  <si>
    <t>Fornecimento de Materiais e Equipamentos</t>
  </si>
  <si>
    <t>Observações sobre os % informados no cálculo do BDI, neste caso:</t>
  </si>
  <si>
    <t>OBRAS DE REDES DE ÁGUA E ESGOTO</t>
  </si>
  <si>
    <t>OS VALORES % INFORMADO ENQUADRAM-SE NOS LIMITES DO ACÓRDÃO 2622/2013-TCU-PLENÁRIO</t>
  </si>
  <si>
    <t>OS VALORES % INFORMADO DE AC,DF E L ESTÃO NOS VALORES MÁXIMOS DOS LIMITES DO ACÓRDÃO 2622/2013-TCU-PLENÁRIO</t>
  </si>
  <si>
    <t>OS VALORES % INFORMADO DE S+G E R FORAM CONSIDERADOS ZERADOS OU SEJA, ABAIXO DO MÍNIMO DOS LIMITES DO ACÓRDÃO 2622/2013-TCU-PLENÁRIO</t>
  </si>
  <si>
    <t>BDI ={{[(1+AC+G+R) x (1+DF) x (1+L)} / (1-I)} - 1 } x 100</t>
  </si>
  <si>
    <t>COMPOSIÇÕES DE PREÇOS UNITARIOS</t>
  </si>
  <si>
    <t xml:space="preserve">BDI PARA ITENS DE MERO FORNECIMENTO DE MATERIAIS E
EQUIPAMENTOS </t>
  </si>
  <si>
    <t>Impostos (I) - PIS, COFINS, ISSQN</t>
  </si>
  <si>
    <t>VALORES DE BDI</t>
  </si>
  <si>
    <t>BDI:</t>
  </si>
  <si>
    <t>Item</t>
  </si>
  <si>
    <t>m²</t>
  </si>
  <si>
    <t>LOCACAO CONVENCIONAL DE OBRA, ATRAVÉS DE GABARITO DE TABUAS CORRIDAS PONTALETADAS, COM REAPROVEITAMENTO DE 3 VEZES.</t>
  </si>
  <si>
    <t>m³</t>
  </si>
  <si>
    <t>MOVIMENTO DE TERRA</t>
  </si>
  <si>
    <t>RADIER</t>
  </si>
  <si>
    <t>SISTEMA DE VEDAÇÃO VERTICAL</t>
  </si>
  <si>
    <t>REVESTIMENTOS</t>
  </si>
  <si>
    <t>PORTAS DE MADEIRA</t>
  </si>
  <si>
    <t>m</t>
  </si>
  <si>
    <t>FERRAGENS E ACESSÓRIOS</t>
  </si>
  <si>
    <t>VIDROS</t>
  </si>
  <si>
    <t>JANELAS DE ALUMÍNIO</t>
  </si>
  <si>
    <t>SISTEMA DE PISO</t>
  </si>
  <si>
    <t>PAVIMENTAÇÃO INTERNA</t>
  </si>
  <si>
    <t>PAVIMENTAÇÃO EXTERNA</t>
  </si>
  <si>
    <t>PINTURA</t>
  </si>
  <si>
    <t>INSTALAÇÕES HIDRÁULICAS</t>
  </si>
  <si>
    <t>INSTALAÇÕES SANITÁRIAS</t>
  </si>
  <si>
    <t>ÁGUAS PLUVIAIS</t>
  </si>
  <si>
    <t>LOUÇAS, ACESSÓRIOS E METAIS</t>
  </si>
  <si>
    <t>INSTALAÇÃO DE GÁS COMBUSTÍVEL</t>
  </si>
  <si>
    <t>SISTEMA DE PROTEÇÃO CONTRA INCÊNDIO</t>
  </si>
  <si>
    <t>SISTEMA DE PROTEÇÃO CONTRA DESCARGAS ATMOSFÉRICAS (SPDA)</t>
  </si>
  <si>
    <t>EXAUSTÃO</t>
  </si>
  <si>
    <t>SERVIÇOS COMPLEMENTARES</t>
  </si>
  <si>
    <t>ADMINISTRAÇÃO LOCAL (CONFORME ACÓRDÃO DO TCU A MEDIÇÃO DESTE ITEM SE DARÁ CONFORME A EVOLUÇÃO DA OBRA.)</t>
  </si>
  <si>
    <t xml:space="preserve"> 90777 </t>
  </si>
  <si>
    <t xml:space="preserve"> 90776 </t>
  </si>
  <si>
    <t>SERVIÇOS FINAIS</t>
  </si>
  <si>
    <t>CURVA ABC</t>
  </si>
  <si>
    <t>1.0</t>
  </si>
  <si>
    <t>1.1</t>
  </si>
  <si>
    <t>PRÓPRIO</t>
  </si>
  <si>
    <t>Comp</t>
  </si>
  <si>
    <t>Alt</t>
  </si>
  <si>
    <t>Área</t>
  </si>
  <si>
    <t>m  x</t>
  </si>
  <si>
    <t>m  =</t>
  </si>
  <si>
    <t xml:space="preserve">Total  = </t>
  </si>
  <si>
    <t>TAPUME COM TELHA METÁLICA.</t>
  </si>
  <si>
    <t>und</t>
  </si>
  <si>
    <t xml:space="preserve">EXECUÇÃO DE RESERVATÓRIO ELEVADO DE ÁGUA (1000 LITROS) EM CANTEIRO DE OBRA, APOIADO EM ESTRUTURA DE MADEIRA. </t>
  </si>
  <si>
    <t>LIGAÇÃO DOMICILIAR DE ESGOTO DN 100MM, DA CASA ATÉ A CAIXA, COMPOSTO POR 10,0M TUBO DE PVC ESGOTO PREDIAL DN 100MM E CAIXA DE ALVENARIA COM TAMPA DE CONCRETO - FORNECIMENTO E INSTALAÇÃO.</t>
  </si>
  <si>
    <t xml:space="preserve">EXECUÇÃO DE SANITÁRIO E VESTIÁRIO EM CANTEIRO DE OBRA EM CHAPA DE MADEIRA COMPENSADA, NÃO INCLUSO MOBILIÁRIO. </t>
  </si>
  <si>
    <t>Larg</t>
  </si>
  <si>
    <t>Qtd</t>
  </si>
  <si>
    <t xml:space="preserve">und  = </t>
  </si>
  <si>
    <t xml:space="preserve">EXECUÇÃO DE ESCRITÓRIO EM CANTEIRO DE OBRA EM CHAPA DE MADEIRA COMPENSADA, NÃO INCLUSO MOBILIÁRIO E EQUIPAMENTOS. </t>
  </si>
  <si>
    <t xml:space="preserve">EXECUÇÃO DE DEPÓSITO EM CANTEIRO DE OBRA EM CHAPA DE MADEIRA COMPENSADA, NÃO INCLUSO MOBILIÁRIO. </t>
  </si>
  <si>
    <t>Volume</t>
  </si>
  <si>
    <t>Total  =</t>
  </si>
  <si>
    <t xml:space="preserve">m </t>
  </si>
  <si>
    <t>m³  =</t>
  </si>
  <si>
    <t>und  =</t>
  </si>
  <si>
    <t>Esp</t>
  </si>
  <si>
    <t>2.0</t>
  </si>
  <si>
    <t/>
  </si>
  <si>
    <t xml:space="preserve">FABRICAÇÃO, MONTAGEM E DESMONTAGEM DE FÔRMA PARA SAPATA, EM MADEIRA SERRADA, E=25 MM, 4 UTILIZAÇÕES. </t>
  </si>
  <si>
    <t xml:space="preserve">LANÇAMENTO COM USO DE BALDES, ADENSAMENTO E ACABAMENTO DE CONCRETO EM ESTRUTURAS. </t>
  </si>
  <si>
    <t>Peso</t>
  </si>
  <si>
    <t>kg</t>
  </si>
  <si>
    <t>m²  x</t>
  </si>
  <si>
    <t>PREPARO DE FUNDO DE VALA COM LARGURA MENOR QUE 1,5 M (ACERTO DO SOLO NATURAL).</t>
  </si>
  <si>
    <t>IMPERMEABILIZAÇÃO DE SUPERFÍCIE COM EMULSÃO ASFÁLTICA, 2 DEMÃOS.</t>
  </si>
  <si>
    <t>3.0</t>
  </si>
  <si>
    <t>Prof</t>
  </si>
  <si>
    <t xml:space="preserve">REATERRO MANUAL DE VALAS COM COMPACTAÇÃO MECANIZADA. </t>
  </si>
  <si>
    <t>Será o volume escavado menos o volume das estruturas.</t>
  </si>
  <si>
    <t>Volume escavado =</t>
  </si>
  <si>
    <t>Volume das estruturas</t>
  </si>
  <si>
    <t xml:space="preserve">FUNDAÇÕES </t>
  </si>
  <si>
    <t xml:space="preserve">CONCRETAGEM DE RADIER, PISO DE CONCRETO OU LAJE SOBRE SOLO, FCK 30 MPA - LANÇAMENTO, ADENSAMENTO E ACABAMENTO. </t>
  </si>
  <si>
    <t>5.2</t>
  </si>
  <si>
    <t>LASTRO DE CONCRETO MAGRO, APLICADO EM BLOCOS DE COROAMENTO OU SAPATAS, ESPESSURA DE 5 CM.</t>
  </si>
  <si>
    <t>6.0</t>
  </si>
  <si>
    <t xml:space="preserve">m²  </t>
  </si>
  <si>
    <t>MONTAGEM E TRAVAMENTO DE PAREDES EM MÓDULOS DE PVC.</t>
  </si>
  <si>
    <t>PVC02</t>
  </si>
  <si>
    <t>Pilares</t>
  </si>
  <si>
    <t>Kg</t>
  </si>
  <si>
    <t>ARMAÇÃO DO SISTEMA DE PAREDES DE CONCRETO, EXECUTADA COMO REFORÇO, VERGALHÃO DE 10,0 MM DE DIÂMETRO.</t>
  </si>
  <si>
    <t xml:space="preserve">kg  </t>
  </si>
  <si>
    <t>7.0</t>
  </si>
  <si>
    <t>ALVENARIA DE VEDAÇÃO DE BLOCOS CERÂMICOS FURADOS NA VERTICAL DE 9X19X39 CM (ESPESSURA 9 CM) E ARGAMASSA DE ASSENTAMENTO COM PREPARO EM BETONEIRA.</t>
  </si>
  <si>
    <t>Estacionamento</t>
  </si>
  <si>
    <t>8.0</t>
  </si>
  <si>
    <t>8.1</t>
  </si>
  <si>
    <t>Qtd Lados</t>
  </si>
  <si>
    <t>und  x</t>
  </si>
  <si>
    <t>9.0</t>
  </si>
  <si>
    <t xml:space="preserve">ESQUADRIAS </t>
  </si>
  <si>
    <t>9.1</t>
  </si>
  <si>
    <t>PM4</t>
  </si>
  <si>
    <t>PM5</t>
  </si>
  <si>
    <t>Total =</t>
  </si>
  <si>
    <t xml:space="preserve"> </t>
  </si>
  <si>
    <t>PM3</t>
  </si>
  <si>
    <t>PM2</t>
  </si>
  <si>
    <t xml:space="preserve">KIT DE PORTA DE MADEIRA PARA PINTURA, SEMI-OCA (LEVE OU MÉDIA), PADRÃO MÉDIO, 60X210CM, ESPESSURA DE 3,5CM, ITENS INCLUSOS: DOBRADIÇAS, MONTAGEM E INSTALAÇÃO DO BATENTE, FECHADURA COM EXECUÇÃO DO FURO - FORNECIMENTO E INSTALAÇÃO. </t>
  </si>
  <si>
    <t>PM1</t>
  </si>
  <si>
    <t>PM6</t>
  </si>
  <si>
    <t>9.2</t>
  </si>
  <si>
    <t xml:space="preserve">PUXADOR PARA PCD, FIXADO NA PORTA - FORNECIMENTO E INSTALAÇÃO. </t>
  </si>
  <si>
    <t xml:space="preserve">TARJETA TIPO LIVRE/OCUPADO PARA PORTA DE BANHEIRO. </t>
  </si>
  <si>
    <t>PV1</t>
  </si>
  <si>
    <t>ESPELHO CRISTAL, ESPESSURA 4MM, COM PARAFUSOS DE FIXACAO, SEM MOLDURA.</t>
  </si>
  <si>
    <t>JANELA DE ALUMÍNIO TIPO MAXIM-AR, COM VIDROS, BATENTE E FERRAGENS. EXCLUSIVE ALIZAR, ACABAMENTO E CONTRAMARCO. FORNECIMENTO E INSTALAÇÃO.</t>
  </si>
  <si>
    <t>JA11</t>
  </si>
  <si>
    <t xml:space="preserve">PORTA EM ALUMÍNIO DE ABRIR TIPO VENEZIANA COM GUARNIÇÃO, FIXAÇÃO COM PARAFUSOS - FORNECIMENTO E INSTALAÇÃO. </t>
  </si>
  <si>
    <t>10.0</t>
  </si>
  <si>
    <t xml:space="preserve">SISTEMA DE COBERTURA </t>
  </si>
  <si>
    <t>10.1</t>
  </si>
  <si>
    <t>10.2</t>
  </si>
  <si>
    <t xml:space="preserve">FORRO DE PVC, LISO, PARA AMBIENTES COMERCIAIS, INCLUSIVE ESTRUTURA DE FIXAÇÃO. </t>
  </si>
  <si>
    <t xml:space="preserve">CAMADA SEPARADORA PARA EXECUÇÃO DE RADIER, PISO DE CONCRETO OU LAJE SOBRE SOLO, EM LONA PLÁSTICA. </t>
  </si>
  <si>
    <t>Perimetro</t>
  </si>
  <si>
    <t>Secretaria</t>
  </si>
  <si>
    <t>Direcional</t>
  </si>
  <si>
    <t xml:space="preserve">und  x </t>
  </si>
  <si>
    <t>Alerta</t>
  </si>
  <si>
    <t>SOLEIRA EM GRANITO, LARGURA 15 CM, ESPESSURA 2,0 CM.</t>
  </si>
  <si>
    <t xml:space="preserve">EXECUÇÃO DE PASSEIO EM PISO INTERTRAVADO, COM BLOCO RETANGULAR COR NATURAL DE 20 X 10 CM, ESPESSURA 6 CM. </t>
  </si>
  <si>
    <t xml:space="preserve">LASTRO COM MATERIAL GRANULAR (AREIA MÉDIA), APLICADO EM PISOS OU LAJES SOBRE SOLO, ESPESSURA DE *10 CM*. </t>
  </si>
  <si>
    <t>13.0</t>
  </si>
  <si>
    <t>PINTURA ESMALTE FOSCO PARA MADEIRA, DUAS DEMAOS, SOBRE FUNDO NIVELADOR BRANCO.</t>
  </si>
  <si>
    <t>Portas de Madeira</t>
  </si>
  <si>
    <t>APLICAÇÃO MANUAL DE PINTURA COM TINTA LÁTEX ACRÍLICA EM PAREDES, DUAS DEMÃOS.</t>
  </si>
  <si>
    <t>Acesso Cadeirante</t>
  </si>
  <si>
    <t>Cadeirante</t>
  </si>
  <si>
    <t xml:space="preserve">PINTURA DE PISO COM TINTA EPÓXI, APLICAÇÃO MANUAL, 2 DEMÃOS, INCLUSO PRIMER EPÓXI. </t>
  </si>
  <si>
    <t>14.0</t>
  </si>
  <si>
    <t>15.0</t>
  </si>
  <si>
    <t>15.8</t>
  </si>
  <si>
    <t>15.10</t>
  </si>
  <si>
    <t>16.0</t>
  </si>
  <si>
    <t>17.0</t>
  </si>
  <si>
    <t>CHUVEIRO ELETRICO COMUM CORPO PLASTICO TIPO DUCHA, FORNECIMENTO E INSTALACAO.</t>
  </si>
  <si>
    <t>TORNEIRA CROMADA DE MESA, 1/2 OU 3/4, PARA LAVATÓRIO, PADRÃO POPULAR - FORNECIMENTO E INSTALAÇÃO.</t>
  </si>
  <si>
    <t>PAPELEIRA DE PAREDE EM METAL CROMADO SEM TAMPA, INCLUSO FIXAÇÃO.</t>
  </si>
  <si>
    <t xml:space="preserve">BARRA DE APOIO RETA, EM ACO INOX POLIDO, COMPRIMENTO 80 CM,  FIXADA NA PAREDE - FORNECIMENTO E INSTALAÇÃO. </t>
  </si>
  <si>
    <t>PCP-CCU-000049</t>
  </si>
  <si>
    <t>SABONETEIRA PLASTICA TIPO DISPENSER PARA SABONETE LIQUIDO COM RESERVATORIO 800 A 1500 ML, INCLUSO FIXAÇÃO.</t>
  </si>
  <si>
    <t>18.0</t>
  </si>
  <si>
    <t>19.0</t>
  </si>
  <si>
    <t>20.0</t>
  </si>
  <si>
    <t>21.0</t>
  </si>
  <si>
    <t>INSTALAÇÃO DE REDE ESTRUTURADA</t>
  </si>
  <si>
    <t>22.0</t>
  </si>
  <si>
    <t>22.2</t>
  </si>
  <si>
    <t>22.3</t>
  </si>
  <si>
    <t>23.0</t>
  </si>
  <si>
    <t>23.1</t>
  </si>
  <si>
    <t>23.2</t>
  </si>
  <si>
    <t>23.3</t>
  </si>
  <si>
    <t>23.4</t>
  </si>
  <si>
    <t>23.5</t>
  </si>
  <si>
    <t>24.0</t>
  </si>
  <si>
    <t>24.1</t>
  </si>
  <si>
    <t>24.2</t>
  </si>
  <si>
    <t>25.0</t>
  </si>
  <si>
    <t xml:space="preserve">ARMAÇÃO DE BLOCO, VIGA BALDRAME E SAPATA UTILIZANDO AÇO CA-60 DE 5 MM - MONTAGEM. </t>
  </si>
  <si>
    <t>MONTAGEM E DESMONTAGEM DE FÔRMA DE PILARES RETANGULARES E ESTRUTURAS SIMILARES, PÉ-DIREITO SIMPLES, EM MADEIRA SERRADA, 4 UTILIZAÇÕES.</t>
  </si>
  <si>
    <t xml:space="preserve">EMBOÇO OU MASSA ÚNICA EM ARGAMASSA TRAÇO 1:2:8, PREPARO MANUAL, APLICADA MANUALMENTE EM PANOS CEGOS DE FACHADA (SEM PRESENÇA DE VÃOS), ESPESSURA DE 25 MM. </t>
  </si>
  <si>
    <t>ENGENHEIRO CIVIL DE OBRA JUNIOR COM ENCARGOS COMPLEMENTARES.</t>
  </si>
  <si>
    <t>Hora/dia</t>
  </si>
  <si>
    <t>Qtd dias</t>
  </si>
  <si>
    <t>Qtd meses</t>
  </si>
  <si>
    <t>Hora</t>
  </si>
  <si>
    <t>h/dia  x</t>
  </si>
  <si>
    <t>dias  x</t>
  </si>
  <si>
    <t>meses  =</t>
  </si>
  <si>
    <t>h</t>
  </si>
  <si>
    <t>ENCARREGADO GERAL COM ENCARGOS COMPLEMENTARES.</t>
  </si>
  <si>
    <t>VIGIA NOTURNO COM ENCARGOS COMPLEMENTARES.</t>
  </si>
  <si>
    <t xml:space="preserve">LIMPEZA DE PISO CERÂMICO OU PORCELANATO COM PANO ÚMIDO. </t>
  </si>
  <si>
    <t>Almoxarifado</t>
  </si>
  <si>
    <t>PA1</t>
  </si>
  <si>
    <t>Despensa</t>
  </si>
  <si>
    <t>Refeitório</t>
  </si>
  <si>
    <t>Subtotal  =</t>
  </si>
  <si>
    <t>PA2</t>
  </si>
  <si>
    <t>PA4</t>
  </si>
  <si>
    <t>JA10</t>
  </si>
  <si>
    <t xml:space="preserve">TORNEIRA CROMADA TUBO MÓVEL, DE MESA, 1/2 OU 3/4, PARA PIA DE COZINHA, PADRÃO ALTO - FORNECIMENTO E INSTALAÇÃO. </t>
  </si>
  <si>
    <t>FORNECIMENTO DE MODULOS EM PVC, INCLUSIVE ACESSÓRIOS, EM CONFORMIDADE COM A DIRETRIZ SINAT 004/REV1-DATEC 017A (MINISTERIO DO DESENVOLVIMENTO REGIONAL).</t>
  </si>
  <si>
    <t>PVC01</t>
  </si>
  <si>
    <t>PINTURA COM TINTA ALQUÍDICA DE ACABAMENTO (ESMALTE SINTÉTICO ACETINADO) PULVERIZADA SOBRE SUPERFÍCIES METÁLICAS (EXCETO PERFIL) EXECUTADO EM OBRA (02 DEMÃOS).</t>
  </si>
  <si>
    <t>Foi considerado as áreas dos Radiers.</t>
  </si>
  <si>
    <t>Reservatório</t>
  </si>
  <si>
    <t xml:space="preserve">CONCRETO FCK = 25MPA, TRAÇO 1:2,3:2,7 (EM MASSA SECA DE CIMENTO/ AREIA MÉDIA/ BRITA 1) - PREPARO MECÂNICO COM BETONEIRA 400 L. </t>
  </si>
  <si>
    <t>m  +</t>
  </si>
  <si>
    <t xml:space="preserve">m ) x 2 x </t>
  </si>
  <si>
    <t>Será a área do radier dos blocos, com excessão do Reservatório, multiplicado pela sua espessura.</t>
  </si>
  <si>
    <t>Estaca - Reservatório</t>
  </si>
  <si>
    <t>MEMORIAL DE CÁLCULO</t>
  </si>
  <si>
    <t xml:space="preserve">EXECUÇÃO DE PASSEIO (CALÇADA) OU PISO DE CONCRETO COM CONCRETO MOLDADO IN LOCO, FEITO EM OBRA, ACABAMENTO CONVENCIONAL, NÃO ARMADO. </t>
  </si>
  <si>
    <t>10.4</t>
  </si>
  <si>
    <t>10.5</t>
  </si>
  <si>
    <t>15.1</t>
  </si>
  <si>
    <t>15.2</t>
  </si>
  <si>
    <t>15.3</t>
  </si>
  <si>
    <t>15.4</t>
  </si>
  <si>
    <t>15.5</t>
  </si>
  <si>
    <t>15.7</t>
  </si>
  <si>
    <t>15.9</t>
  </si>
  <si>
    <t>15.11</t>
  </si>
  <si>
    <t>15.12</t>
  </si>
  <si>
    <t>15.13</t>
  </si>
  <si>
    <t>15.14</t>
  </si>
  <si>
    <t>15.15</t>
  </si>
  <si>
    <t>15.17</t>
  </si>
  <si>
    <t>24.5</t>
  </si>
  <si>
    <t>25.1</t>
  </si>
  <si>
    <t>25.2</t>
  </si>
  <si>
    <t>Vol. escavado</t>
  </si>
  <si>
    <t>Vol. estruturas</t>
  </si>
  <si>
    <t>Reaterro  =</t>
  </si>
  <si>
    <t>-</t>
  </si>
  <si>
    <t>CINTA DE AMARRAÇÃO DE ALVENARIA MOLDADA IN LOCO COM UTILIZAÇÃO DE BLOCOS CANALETA.</t>
  </si>
  <si>
    <t>Blocos</t>
  </si>
  <si>
    <t xml:space="preserve">FABRICAÇÃO DE FÔRMA PARA LAJES, EM CHAPA DE MADEIRA COMPENSADA RESINADA, E = 17 MM. </t>
  </si>
  <si>
    <t>1.2</t>
  </si>
  <si>
    <t>1.3</t>
  </si>
  <si>
    <t>1.4</t>
  </si>
  <si>
    <t>1.5</t>
  </si>
  <si>
    <t>1.6</t>
  </si>
  <si>
    <t>1.7</t>
  </si>
  <si>
    <t>1.8</t>
  </si>
  <si>
    <t>1.9</t>
  </si>
  <si>
    <t>1.10</t>
  </si>
  <si>
    <t>PLACA DE OBRA EM CHAPA DE AÇO GALVANIZADO.</t>
  </si>
  <si>
    <t>ESTACA ESCAVADA MECANICAMENTE, SEM FLUIDO ESTABILIZANTE, COM 40CM DE DIÂMETRO, CONCRETO LANÇADO POR CAMINHÃO BETONEIRA (EXCLUSIVE MOBILIZAÇÃO E DESMOBILIZAÇÃO).</t>
  </si>
  <si>
    <t>TELA DE NYLON TIPO MOSQUITEIRO COM MOLDURA EM ALUMINIO ANODIZADO NATURAL.</t>
  </si>
  <si>
    <t>PORTA EM ALUMÍNIO, COR N/P/B, TIPO VENEZIANA (ATÉ 50%) E VIDRO (ATÉ 50%), DE ABRIR OU CORRER, COMPLETA, INCLUSIVE CAIXILHOS, DOBRADIÇAS OU ROLDANAS, FECHADURA INCLUSIVE VIDRO.</t>
  </si>
  <si>
    <t>PORTA TOALHA PLÁSTICO PARA PAPEL TOALHA EM FOLHA.</t>
  </si>
  <si>
    <t>BANCO DE CONCRETO EM ALVENARIA DE TIJOLOS, ASSENTO EM CONCRETO ARMADO, SEM ENCOSTO, PINTADO COM TINTA ACRÍLICA, 2 DEMÃOS.</t>
  </si>
  <si>
    <t>KIT DE PORTA DE MADEIRA PARA PINTURA, SEMI-OCA (LEVE OU MÉDIA), PADRÃO MÉDIO, 70X210CM, ESPESSURA DE 3,5CM, ITENS INCLUSOS: DOBRADIÇAS, MONTAGEM E INSTALAÇÃO DO BATENTE, FECHADURA COM EXECUÇÃO DO FURO - FORNECIMENTO E INSTALAÇÃO.</t>
  </si>
  <si>
    <t>KIT DE PORTA DE MADEIRA PARA PINTURA, SEMI-OCA (LEVE OU MÉDIA), PADRÃO MÉDIO, 80X210CM, ESPESSURA DE 3,5CM, ITENS INCLUSOS: DOBRADIÇAS, MONTAGEM E INSTALAÇÃO DO BATENTE, FECHADURA COM EXECUÇÃO DO FURO - FORNECIMENTO E INSTALAÇÃO.</t>
  </si>
  <si>
    <t>PORTA DE FERRO, DE ABRIR, TIPO GRADE COM CHAPA, COM GUARNIÇÕES.</t>
  </si>
  <si>
    <t>Vest. Func. Fem.</t>
  </si>
  <si>
    <t>Vest. Func. Masc.</t>
  </si>
  <si>
    <t>Rouparia</t>
  </si>
  <si>
    <t>Lavanderia</t>
  </si>
  <si>
    <t>Pátio Coberto</t>
  </si>
  <si>
    <t>Direção</t>
  </si>
  <si>
    <t>Sanit. PCD Masc.</t>
  </si>
  <si>
    <t>Sanit. PCD Fem.</t>
  </si>
  <si>
    <t>Pré Escola - 2</t>
  </si>
  <si>
    <t>Pré Escola - 3</t>
  </si>
  <si>
    <t>Solário - 1</t>
  </si>
  <si>
    <t>Solário - 2</t>
  </si>
  <si>
    <t>Solário - 3</t>
  </si>
  <si>
    <t>Pré-Escola - 1</t>
  </si>
  <si>
    <t>Pré-Escola - 4</t>
  </si>
  <si>
    <t>PISO VINÍLICO SEMI-FLEXÍVEL EM PLACAS, PADRÃO LISO, ESPESSURA 3,2 MM, FIXADO COM COLA.</t>
  </si>
  <si>
    <t>Playground</t>
  </si>
  <si>
    <t xml:space="preserve">LASTRO DE CONCRETO MAGRO, APLICADO EM PISOS, LAJES SOBRE SOLO OU RADIERS, ESPESSURA DE 3 CM. </t>
  </si>
  <si>
    <t>Casa de Gás</t>
  </si>
  <si>
    <t>PINTURA DE MEIO-FIO COM TINTA BRANCA A BASE DE CAL (CAIAÇÃO).</t>
  </si>
  <si>
    <t>15.6</t>
  </si>
  <si>
    <t>15.16</t>
  </si>
  <si>
    <t>15.18</t>
  </si>
  <si>
    <t>15.19</t>
  </si>
  <si>
    <t>15.20</t>
  </si>
  <si>
    <t>15.21</t>
  </si>
  <si>
    <t>15.22</t>
  </si>
  <si>
    <t>3.1.4</t>
  </si>
  <si>
    <t>Peso/m²</t>
  </si>
  <si>
    <t>Kg/m²  =</t>
  </si>
  <si>
    <t>Foi considerado um acréscimo de 5cm para o concreto magro na profundidade e foi adicionado 0,20m para cada dimensão das sapatas.</t>
  </si>
  <si>
    <t>COMPACTAÇÃO MECÂNICA DE SOLO PARA EXECUÇÃO DE RADIER, PISO DE CONCRETO OU LAJE SOBRE SOLO, COM COMPACTADOR DE SOLOS TIPO PLACA VIBRATÓRIA.</t>
  </si>
  <si>
    <t>ESCAVAÇÃO MECANIZADA DE VALA COM PROF. ATÉ 1,5 M (MÉDIA MONTANTE E JUSANTE/UMA COMPOSIÇÃO POR TRECHO), ESCAVADEIRA (0,8 M3), LARG. DE 1,5 M A 2,5 M, EM SOLO DE 2A CATEGORIA, EM LOCAIS COM ALTO NÍVEL DE INTERFERÊNCIA.</t>
  </si>
  <si>
    <t>3.1</t>
  </si>
  <si>
    <t>3.1.1</t>
  </si>
  <si>
    <t>3.1.2</t>
  </si>
  <si>
    <t xml:space="preserve">LASTRO COM MATERIAL GRANULAR (PEDRA BRITADA N.2), APLICADO EM PISOS OU LAJES SOBRE SOLO, ESPESSURA DE *10 CM*. </t>
  </si>
  <si>
    <t>3.1.3</t>
  </si>
  <si>
    <t>LASTRO DE CONCRETO MAGRO, APLICADO EM PISOS, LAJES SOBRE SOLO OU RADIERS, ESPESSURA DE 5 CM.</t>
  </si>
  <si>
    <t>3.1.5</t>
  </si>
  <si>
    <t>ARMAÇÃO PARA EXECUÇÃO DE RADIER, PISO DE CONCRETO OU LAJE SOBRE SOLO, COM USO DE TELA Q-196.</t>
  </si>
  <si>
    <t>m x</t>
  </si>
  <si>
    <t>Qtd de tela</t>
  </si>
  <si>
    <t xml:space="preserve">CONCRETO FCK = 30MPA, TRAÇO 1:2,1:2,5 (EM MASSA SECA DE CIMENTO/ AREIA MÉDIA/ BRITA 1) - PREPARO MECÂNICO COM BETONEIRA 400 L. </t>
  </si>
  <si>
    <t xml:space="preserve">ARMAÇÃO DE LAJE DE ESTRUTURA CONVENCIONAL DE CONCRETO ARMADO UTILIZANDO AÇO CA-60 DE 5,0 MM - MONTAGEM. </t>
  </si>
  <si>
    <t xml:space="preserve">ARMAÇÃO DE LAJE DE ESTRUTURA CONVENCIONAL DE CONCRETO ARMADO UTILIZANDO AÇO CA-50 DE 10,0 MM - MONTAGEM. </t>
  </si>
  <si>
    <t>Casa de Gás - Laje Superior</t>
  </si>
  <si>
    <t xml:space="preserve">ARMAÇÃO DE LAJE DE ESTRUTURA CONVENCIONAL DE CONCRETO ARMADO UTILIZANDO AÇO CA-50 DE 12,5 MM - MONTAGEM. </t>
  </si>
  <si>
    <t>3.1.6</t>
  </si>
  <si>
    <t>3.1.10</t>
  </si>
  <si>
    <t>3.1.11</t>
  </si>
  <si>
    <t>3.1.12</t>
  </si>
  <si>
    <t>CONCRETO ARMADO PARA FUNDAÇÕES - SAPATAS</t>
  </si>
  <si>
    <t xml:space="preserve">CONCRETAGEM DE SAPATAS, FCK 30 MPA, COM USO DE BOMBA  LANÇAMENTO, ADENSAMENTO E ACABAMENTO. </t>
  </si>
  <si>
    <t>3.2</t>
  </si>
  <si>
    <t>3.2.1</t>
  </si>
  <si>
    <t>3.2.2</t>
  </si>
  <si>
    <t>3.2.3</t>
  </si>
  <si>
    <t>4.0</t>
  </si>
  <si>
    <t>4.1</t>
  </si>
  <si>
    <t>4.2</t>
  </si>
  <si>
    <t>5.0</t>
  </si>
  <si>
    <t>5.1</t>
  </si>
  <si>
    <t>5.3</t>
  </si>
  <si>
    <t>5.4</t>
  </si>
  <si>
    <t>5.5</t>
  </si>
  <si>
    <t>5.6</t>
  </si>
  <si>
    <t>5.7</t>
  </si>
  <si>
    <t>5.8</t>
  </si>
  <si>
    <t>Paredes de Concreto de 8cm</t>
  </si>
  <si>
    <t>SUPERESTRUTURA</t>
  </si>
  <si>
    <t>5.9</t>
  </si>
  <si>
    <t>5.10</t>
  </si>
  <si>
    <t xml:space="preserve">ARMAÇÃO DE PILAR OU VIGA DE ESTRUTURA CONVENCIONAL DE CONCRETO ARMADO UTILIZANDO AÇO CA-60 DE 5,0 MM - MONTAGEM. </t>
  </si>
  <si>
    <t>Viga Baldrame</t>
  </si>
  <si>
    <t xml:space="preserve">FABRICAÇÃO, MONTAGEM E DESMONTAGEM DE FÔRMA PARA VIGA BALDRAME, EM MADEIRA SERRADA, E=25 MM, 2 UTILIZAÇÕES. </t>
  </si>
  <si>
    <t xml:space="preserve">Pilares </t>
  </si>
  <si>
    <t xml:space="preserve">ALVENARIA DE VEDAÇÃO DE BLOCOS CERÂMICOS FURADOS NA VERTICAL DE 9X19X39 CM (ESPESSURA 9 CM) E ARGAMASSA DE ASSENTAMENTO COM PREPARO EM BETONEIRA. </t>
  </si>
  <si>
    <t>Mureta Frontal</t>
  </si>
  <si>
    <t>Muro Contorno</t>
  </si>
  <si>
    <t>CHAPISCO APLICADO EM ALVENARIAS E ESTRUTURAS DE CONCRETO INTERNAS, COM COLHER DE PEDREIRO. ARGAMASSA TRAÇO 1:3 COM PREPARO EM BETONEIRA 400L.</t>
  </si>
  <si>
    <t xml:space="preserve">CHAPISCO APLICADO EM ALVENARIAS E ESTRUTURAS DE CONCRETO INTERNAS, COM COLHER DE PEDREIRO. ARGAMASSA TRAÇO 1:3 COM PREPARO EM BETONEIRA 400L. </t>
  </si>
  <si>
    <t>EMBOÇO OU MASSA ÚNICA EM ARGAMASSA TRAÇO 1:2:8, PREPARO MANUAL, APLICADA MANUALMENTE EM PANOS CEGOS DE FACHADA (SEM PRESENÇA DE VÃOS), ESPESSURA DE 25 MM.</t>
  </si>
  <si>
    <t>Bloco 1</t>
  </si>
  <si>
    <t>Cozinha</t>
  </si>
  <si>
    <t>9.1.1</t>
  </si>
  <si>
    <t>9.1.2</t>
  </si>
  <si>
    <t>9.1.3</t>
  </si>
  <si>
    <t>9.1.4</t>
  </si>
  <si>
    <t xml:space="preserve">ASSENTAMENTO DE GUIA (MEIO-FIO) EM TRECHO RETO, CONFECCIONADA EM CONCRETO PRÉ-FABRICADO, DIMENSÕES 100X15X13X20 CM (COMPRIMENTO X BASE INFERIOR X BASE SUPERIOR X ALTURA), PARA URBANIZAÇÃO INTERNA DE EMPREENDIMENTOS. </t>
  </si>
  <si>
    <t xml:space="preserve">PLANTIO DE GRAMA ESMERALDA OU SÃO CARLOS OU CURITIBANA, EM PLACAS. </t>
  </si>
  <si>
    <t>10.1.1</t>
  </si>
  <si>
    <t xml:space="preserve">VASO SANITÁRIO SIFONADO COM CAIXA ACOPLADA LOUÇA BRANCA, INCLUSO ENGATE FLEXÍVEL EM PLÁSTICO BRANCO, 1/2 X 40CM - FORNECIMENTO E INSTALAÇÃO. </t>
  </si>
  <si>
    <t xml:space="preserve">ASSENTO SANITÁRIO CONVENCIONAL - FORNECIMENTO E INSTALACAO. </t>
  </si>
  <si>
    <t>LAVATÓRIO LOUÇA BRANCA SUSPENSO, 29,5 X 39CM OU EQUIVALENTE, PADRÃO POPULAR - FORNECIMENTO E INSTALAÇÃO.</t>
  </si>
  <si>
    <t xml:space="preserve">TANQUE DE LOUÇA BRANCA COM COLUNA, 30L OU EQUIVALENTE, INCLUSO SIFÃO FLEXÍVEL EM PVC, VÁLVULA PLÁSTICA E TORNEIRA DE METAL CROMADO PADRÃO POPULAR - FORNECIMENTO E INSTALAÇÃO. </t>
  </si>
  <si>
    <t>11.0</t>
  </si>
  <si>
    <t>12.0</t>
  </si>
  <si>
    <t>CUBA DE EMBUTIR OVAL EM LOUÇA BRANCA, 35 X 50CM OU EQUIVALENTE - FORNECIMENTO E INSTALAÇÃO.</t>
  </si>
  <si>
    <t>CUBA DE EMBUTIR DE AÇO INOXIDÁVEL MÉDIA, INCLUSO VÁLVULA TIPO AMERICANA E SIFÃO TIPO GARRAFA EM METAL CROMADO - FORNECIMENTO E INSTALAÇÃO.</t>
  </si>
  <si>
    <t xml:space="preserve">TORNEIRA CROMADA TUBO MÓVEL, DE PAREDE, 1/2 OU 3/4, PARA PIA DE COZINHA, PADRÃO MÉDIO - FORNECIMENTO E INSTALAÇÃO. </t>
  </si>
  <si>
    <t xml:space="preserve">Varal </t>
  </si>
  <si>
    <t xml:space="preserve">BARRA DE APOIO RETA, EM ACO INOX POLIDO, COMPRIMENTO 70 CM, FIXADA NA PAREDE - FORNECIMENTO E INSTALAÇÃO. </t>
  </si>
  <si>
    <t>Sapatas do Varal</t>
  </si>
  <si>
    <t>ASSENTO EM CONCRETO ARMADO.</t>
  </si>
  <si>
    <t xml:space="preserve">CORRIMÃO SIMPLES, DIÂMETRO EXTERNO = 1 1/2, EM ALUMÍNIO. </t>
  </si>
  <si>
    <t>BANCADA DE GRANITO CINZA POLIDO.</t>
  </si>
  <si>
    <t xml:space="preserve">JANELA FIXA DE ALUMÍNIO PARA VIDRO, COM VIDRO, BATENTE E FERRAGENS. EXCLUSIVE ACABAMENTO, ALIZAR E CONTRAMARCO. FORNECIMENTO E INSTALAÇÃO. </t>
  </si>
  <si>
    <t>1.11</t>
  </si>
  <si>
    <t xml:space="preserve">Geral </t>
  </si>
  <si>
    <t>Passeio</t>
  </si>
  <si>
    <t>Varal</t>
  </si>
  <si>
    <t>ATERRO MANUAL DE VALAS COM SOLO ARGILO-ARENOSO E COMPACTAÇÃO MECANIZADA.</t>
  </si>
  <si>
    <t>6.1</t>
  </si>
  <si>
    <t>6.2</t>
  </si>
  <si>
    <t>7.1</t>
  </si>
  <si>
    <t>7.2</t>
  </si>
  <si>
    <t>Será igual á área do item 7.1.</t>
  </si>
  <si>
    <t>9.1.5</t>
  </si>
  <si>
    <t>9.1.6</t>
  </si>
  <si>
    <t>9.1.7</t>
  </si>
  <si>
    <t>9.1.8</t>
  </si>
  <si>
    <t>9.1.9</t>
  </si>
  <si>
    <t>9.1.10</t>
  </si>
  <si>
    <t>9.2.1</t>
  </si>
  <si>
    <t>9.2.2</t>
  </si>
  <si>
    <t>9.2.3</t>
  </si>
  <si>
    <t>9.2.4</t>
  </si>
  <si>
    <t>9.2.7</t>
  </si>
  <si>
    <t>10.1.2</t>
  </si>
  <si>
    <t>10.1.3</t>
  </si>
  <si>
    <t>10.1.4</t>
  </si>
  <si>
    <t>10.2.1</t>
  </si>
  <si>
    <t>10.2.2</t>
  </si>
  <si>
    <t>10.2.3</t>
  </si>
  <si>
    <t>10.3</t>
  </si>
  <si>
    <t>10.3.1</t>
  </si>
  <si>
    <t>10.3.2</t>
  </si>
  <si>
    <t>10.3.3</t>
  </si>
  <si>
    <t>10.4.1</t>
  </si>
  <si>
    <t>10.4.2</t>
  </si>
  <si>
    <t>10.4.3</t>
  </si>
  <si>
    <t>Vaga de Carro</t>
  </si>
  <si>
    <t>Amarelinha</t>
  </si>
  <si>
    <t>Labirinto</t>
  </si>
  <si>
    <t>Estradinha</t>
  </si>
  <si>
    <t>8.2</t>
  </si>
  <si>
    <t>8.3</t>
  </si>
  <si>
    <t>8.4</t>
  </si>
  <si>
    <t>8.5</t>
  </si>
  <si>
    <t>8.6</t>
  </si>
  <si>
    <t>8.7</t>
  </si>
  <si>
    <t>8.8</t>
  </si>
  <si>
    <t>10.5.1</t>
  </si>
  <si>
    <t>10.5.2</t>
  </si>
  <si>
    <t>10.5.3</t>
  </si>
  <si>
    <t>10.5.4</t>
  </si>
  <si>
    <t>11.1</t>
  </si>
  <si>
    <t>11.2</t>
  </si>
  <si>
    <t>11.3</t>
  </si>
  <si>
    <t>11.4</t>
  </si>
  <si>
    <t>11.5</t>
  </si>
  <si>
    <t>11.6</t>
  </si>
  <si>
    <t>24.4</t>
  </si>
  <si>
    <t>24.3</t>
  </si>
  <si>
    <t>TELHAMENTO COM TELHA METÁLICA TERMOACÚSTICA E = 30 MM, COM ATÉ 2 ÁGUAS, INCLUSO IÇAMENTO.</t>
  </si>
  <si>
    <t>TESTEIRA METÁLICA EM CHAPA DE ALUMÍNIO PINTADA.</t>
  </si>
  <si>
    <t>Testeiras</t>
  </si>
  <si>
    <t>Ves. Func. Fem e Masc.</t>
  </si>
  <si>
    <t>7.4</t>
  </si>
  <si>
    <t>Rodameio</t>
  </si>
  <si>
    <t>DIVISORIA SANITÁRIA, TIPO CABINE, EM GRANITO CINZA POLIDO, ESP = 3CM, ASSENTADO COM ARGAMASSA COLANTE AC III-E, EXCLUSIVE FERRAGENS.</t>
  </si>
  <si>
    <t xml:space="preserve">DIVISÓRIA FIXA EM VIDRO TEMPERADO 10 MM, SEM ABERTURA. </t>
  </si>
  <si>
    <t>Portas Metálicas</t>
  </si>
  <si>
    <t>BDI FORNECIMENTO DE PAINEL PVC E COTAÇÃO:</t>
  </si>
  <si>
    <t>CRONOGRAMA FÍSICO E FINANCEIRO</t>
  </si>
  <si>
    <t>RODAPÉ CERÂMICO DE 7CM DE ALTURA COM PLACAS TIPO PORCELANATO DE DIMENSÕES 60X60CM.</t>
  </si>
  <si>
    <t>APLICAÇÃO MANUAL DE PINTURA COM TINTA LÁTEX ACRÍLICA EM PAREDES DE PVC, DUAS DEMÃOS.</t>
  </si>
  <si>
    <t>CURA DO CONCRETO COM ASPERSÃO DE ÁGUA.</t>
  </si>
  <si>
    <t xml:space="preserve">Sala Multiuso </t>
  </si>
  <si>
    <t>Copa Funcionários</t>
  </si>
  <si>
    <t xml:space="preserve">PISO CIMENTADO, TRAÇO 1:3 (CIMENTO E AREIA), ACABAMENTO RÚSTICO, ESPESSURA 3,0 CM, PREPARO MECÂNICO DA ARGAMASSA. </t>
  </si>
  <si>
    <t>Área de banho</t>
  </si>
  <si>
    <t>Escada acesso banho</t>
  </si>
  <si>
    <t>Sanit. Infantil 1 ao 4</t>
  </si>
  <si>
    <t>ALVENARIA DE VEDAÇÃO COM ELEMENTO VAZADO DE CONCRETO (COBOGÓ) DE 7X50X50CM E ARGAMASSA DE ASSENTAMENTO COM PREPARO EM BETONEIRA.</t>
  </si>
  <si>
    <t>6.3</t>
  </si>
  <si>
    <t>Calçada Externa</t>
  </si>
  <si>
    <t>Bancos (Calçada Externa)</t>
  </si>
  <si>
    <t>PM7</t>
  </si>
  <si>
    <t xml:space="preserve">FECHADURA DE EMBUTIR COM CILINDRO, EXTERNA, COMPLETA, ACABAMENTO PADRÃO MÉDIO, INCLUSO EXECUÇÃO DE FURO - FORNECIMENTO E INSTALAÇÃO. </t>
  </si>
  <si>
    <t xml:space="preserve">PA3 </t>
  </si>
  <si>
    <t>P01</t>
  </si>
  <si>
    <t>P02</t>
  </si>
  <si>
    <t>P04</t>
  </si>
  <si>
    <t>P03</t>
  </si>
  <si>
    <t>PF1</t>
  </si>
  <si>
    <t>Geral</t>
  </si>
  <si>
    <t>Considerando a composição do SINAPI 104162 têm-se que o coeficiente correspondente a 1m² de piso para a junta de ditalatação é igual a 1,67, então:</t>
  </si>
  <si>
    <t>Coef.</t>
  </si>
  <si>
    <t>m/m²  =</t>
  </si>
  <si>
    <t>9.2.5</t>
  </si>
  <si>
    <t>9.2.6</t>
  </si>
  <si>
    <t>Parede do Fogão</t>
  </si>
  <si>
    <t>7.5</t>
  </si>
  <si>
    <t>7.6</t>
  </si>
  <si>
    <t>IMPERMEABILIZAÇÃO DE SUPERFÍCIE COM ARGAMASSA POLIMÉRICA / MEMBRANA ACRÍLICA, 3 DEMÃOS.</t>
  </si>
  <si>
    <t>POLIMENTO DE PISO DE CONCRETO.</t>
  </si>
  <si>
    <t>Piso elevado em alvenaria sob bancadas</t>
  </si>
  <si>
    <t>REFERÊNCIA DE PREÇOS:</t>
  </si>
  <si>
    <t>Encargos Sociais Não Desonerado: embutido nos preços unitário dos insumos de mão de obra, de acordo com as bases.</t>
  </si>
  <si>
    <t>COMPOSIÇÕES DE CUSTO UNITÁRIO (CCU)
COMPOSIÇÕES PRINCIPAIS</t>
  </si>
  <si>
    <t>Cobogó</t>
  </si>
  <si>
    <t xml:space="preserve">m² </t>
  </si>
  <si>
    <t>ESCAVAÇÃO MANUAL DE VALA COM PROFUNDIDADE MENOR OU IGUAL A 1,30 M.</t>
  </si>
  <si>
    <t>CONCRETO FCK = 25MPA, TRAÇO 1:2,3:2,7 (EM MASSA SECA DE CIMENTO/ AREIA MÉDIA/ BRITA 1) - PREPARO MECÂNICO COM BETONEIRA 400 L.</t>
  </si>
  <si>
    <t>CONCRETO FCK = 30MPA, TRAÇO 1:2,1:2,5 (EM MASSA SECA DE CIMENTO/ AREIA MÉDIA/ BRITA 1) - PREPARO MECÂNICO COM BETONEIRA 400 L.</t>
  </si>
  <si>
    <t>Mureta Lateral</t>
  </si>
  <si>
    <t>IMPERMEABILIZAÇÃO DE SUPERFÍCIE COM MANTA ASFÁLTICA, UMA CAMADA, INCLUSIVE APLICAÇÃO DE PRIMER ASFÁLTICO, E=3MM.</t>
  </si>
  <si>
    <t>PROTEÇÃO MECÂNICA DE SUPERFICIE HORIZONTAL COM CONCRETO 15 MPA, E=4CM.</t>
  </si>
  <si>
    <t xml:space="preserve">ESCORAMENTO DE FÔRMAS DE LAJE EM MADEIRA NÃO APARELHADA, PÉ-DIREITO SIMPLES, INCLUSO TRAVAMENTO, 4 UTILIZAÇÕES. </t>
  </si>
  <si>
    <t>Mastro</t>
  </si>
  <si>
    <t xml:space="preserve">ESTACA ESCAVADA MECANICAMENTE, SEM FLUIDO ESTABILIZANTE, COM 25CM DE DIÂMETRO, CONCRETO LANÇADO POR CAMINHÃO BETONEIRA (EXCLUSIVE MOBILIZAÇÃO E DESMOBILIZAÇÃO). </t>
  </si>
  <si>
    <t>ARMAÇÃO DE LAJE DE ESTRUTURA CONVENCIONAL DE CONCRETO ARMADO UTILIZANDO AÇO CA-50 DE 6,3 MM - MONTAGEM.</t>
  </si>
  <si>
    <t>Extraído de memorial de cálculo das paredes à parte.</t>
  </si>
  <si>
    <t xml:space="preserve">FABRICAÇÃO, MONTAGEM E DESMONTAGEM DE FORMA PARA RADIER, PISO DE CONCRETO OU LAJE SOBRE SOLO, EM MADEIRA SERRADA, 4 UTILIZAÇÕES. </t>
  </si>
  <si>
    <t>12.1</t>
  </si>
  <si>
    <t>TUBO, PVC, SOLDÁVEL, DN 25MM, INSTALADO EM PRUMADA DE ÁGUA - FORNECIMENTO E INSTALAÇÃO.</t>
  </si>
  <si>
    <t>12.2</t>
  </si>
  <si>
    <t>TUBO, PVC, SOLDÁVEL, DN 32MM, INSTALADO EM PRUMADA DE ÁGUA - FORNECIMENTO E INSTALAÇÃO.</t>
  </si>
  <si>
    <t>12.3</t>
  </si>
  <si>
    <t>TUBO, PVC, SOLDÁVEL, DN 40MM, INSTALADO EM PRUMADA DE ÁGUA - FORNECIMENTO E INSTALAÇÃO.</t>
  </si>
  <si>
    <t>12.4</t>
  </si>
  <si>
    <t>TUBO, PVC, SOLDÁVEL, DN 50MM, INSTALADO EM PRUMADA DE ÁGUA - FORNECIMENTO E INSTALAÇÃO.</t>
  </si>
  <si>
    <t>12.5</t>
  </si>
  <si>
    <t>TUBO, PVC, SOLDÁVEL, DN 60MM, INSTALADO EM PRUMADA DE ÁGUA - FORNECIMENTO E INSTALAÇÃO.</t>
  </si>
  <si>
    <t>12.6</t>
  </si>
  <si>
    <t>TUBO, PVC, SOLDÁVEL, DN 75MM, INSTALADO EM PRUMADA DE ÁGUA - FORNECIMENTO E INSTALAÇÃO.</t>
  </si>
  <si>
    <t>12.7</t>
  </si>
  <si>
    <t>TUBO DE AÇO GALVANIZADO COM COSTURA, CLASSE MÉDIA, CONEXÃO ROSQUEADA, DN 20 (3/4"), INSTALADO EM RAMAIS E SUB-RAMAIS DE ÁGUA - FORNECIMENTO E INSTALAÇÃO.</t>
  </si>
  <si>
    <t>12.8</t>
  </si>
  <si>
    <t xml:space="preserve">TUBO DE AÇO GALVANIZADO COM COSTURA, CLASSE MÉDIA, DN 25 (1"), CONEXÃO ROSQUEADA, INSTALADO EM REDE DE ÁGUA - FORNECIMENTO E INSTALAÇÃO. </t>
  </si>
  <si>
    <t>12.9</t>
  </si>
  <si>
    <t>TÊ DE REDUÇÃO, PVC, SOLDÁVEL, DN 32MM X 25MM, INSTALADO EM PRUMADA DE ÁGUA - FORNECIMENTO E INSTALAÇÃO.</t>
  </si>
  <si>
    <t xml:space="preserve">Qtd </t>
  </si>
  <si>
    <t>12.10</t>
  </si>
  <si>
    <t>12.11</t>
  </si>
  <si>
    <t>TÊ DE REDUÇÃO, PVC, SOLDÁVEL, DN 40MM X 32MM, INSTALADO EM PRUMADA DE ÁGUA - FORNECIMENTO E INSTALAÇÃO.</t>
  </si>
  <si>
    <t>12.12</t>
  </si>
  <si>
    <t>12.13</t>
  </si>
  <si>
    <t xml:space="preserve">TE DE REDUÇÃO, PVC, SOLDÁVEL, DN 75MM X 50MM, INSTALADO EM PRUMADA DE ÁGUA - FORNECIMENTO E INSTALAÇÃO. </t>
  </si>
  <si>
    <t>12.14</t>
  </si>
  <si>
    <t xml:space="preserve">TE, PVC, SOLDÁVEL, DN 25MM, INSTALADO EM PRUMADA DE ÁGUA - FORNECIMENTO E INSTALAÇÃO. </t>
  </si>
  <si>
    <t>12.15</t>
  </si>
  <si>
    <t>TE, PVC, SOLDÁVEL, DN 50MM, INSTALADO EM PRUMADA DE ÁGUA - FORNECIMENTO E INSTALAÇÃO.</t>
  </si>
  <si>
    <t>12.16</t>
  </si>
  <si>
    <t>TE, PVC, SOLDÁVEL, DN 75MM, INSTALADO EM PRUMADA DE ÁGUA - FORNECIMENTO E INSTALAÇÃO.</t>
  </si>
  <si>
    <t>12.17</t>
  </si>
  <si>
    <t>TÊ COM BUCHA DE LATÃO NA BOLSA CENTRAL, PVC, SOLDÁVEL, DN 25MM X 3/4 , INSTALADO EM RAMAL OU SUB-RAMAL DE ÁGUA - FORNECIMENTO E INSTALAÇÃO.</t>
  </si>
  <si>
    <t>12.18</t>
  </si>
  <si>
    <t>TÊ, EM FERRO GALVANIZADO, CONEXÃO ROSQUEADA, DN 20 (3/4"), INSTALADO EM RAMAIS E SUB-RAMAIS DE ÁGUA- FORNECIMENTO E INSTALAÇÃO.</t>
  </si>
  <si>
    <t>12.19</t>
  </si>
  <si>
    <t>12.20</t>
  </si>
  <si>
    <t>COTOVELO 90 GRAUS, EM FERRO GALVANIZADO, CONEXÃO ROSQUEADA, DN 20 (3/4"), INSTALADO EM RESERVAÇÃO DE ÁGUA DE EDIFICAÇÃO QUE POSSUA RESERVATÓRIO DE FIBRA/FIBROCIMENTO  FORNECIMENTO E INSTALAÇÃO.</t>
  </si>
  <si>
    <t>12.21</t>
  </si>
  <si>
    <t>COTOVELO 90 GRAUS, EM FERRO GALVANIZADO, CONEXÃO ROSQUEADA, DN 25 (1"), INSTALADO EM RESERVAÇÃO DE ÁGUA DE EDIFICAÇÃO QUE POSSUA RESERVATÓRIO DE FIBRA/FIBROCIMENTO  FORNECIMENTO E INSTALAÇÃO.</t>
  </si>
  <si>
    <t>12.22</t>
  </si>
  <si>
    <t>12.23</t>
  </si>
  <si>
    <t xml:space="preserve">JOELHO 90 GRAUS, PVC, SOLDÁVEL, DN 25MM, INSTALADO EM PRUMADA DE ÁGUA - FORNECIMENTO E INSTALAÇÃO. </t>
  </si>
  <si>
    <t>12.24</t>
  </si>
  <si>
    <t>JOELHO 90 GRAUS, PVC, SOLDÁVEL, DN 50MM, INSTALADO EM PRUMADA DE ÁGUA - FORNECIMENTO E INSTALAÇÃO.</t>
  </si>
  <si>
    <t>12.25</t>
  </si>
  <si>
    <t xml:space="preserve">JOELHO 90 GRAUS, PVC, SOLDÁVEL, DN 60MM, INSTALADO EM PRUMADA DE ÁGUA - FORNECIMENTO E INSTALAÇÃO. </t>
  </si>
  <si>
    <t>12.26</t>
  </si>
  <si>
    <t>JOELHO 90 GRAUS, PVC, SOLDÁVEL, DN 75MM, INSTALADO EM PRUMADA DE ÁGUA - FORNECIMENTO E INSTALAÇÃO.</t>
  </si>
  <si>
    <t>12.27</t>
  </si>
  <si>
    <t xml:space="preserve">JOELHO 90 GRAUS COM BUCHA DE LATÃO, PVC, SOLDÁVEL, DN 25MM, X 3/4 INSTALADO EM RAMAL OU SUB-RAMAL DE ÁGUA - FORNECIMENTO E INSTALAÇÃO. </t>
  </si>
  <si>
    <t>12.28</t>
  </si>
  <si>
    <t xml:space="preserve">LUVA COM BUCHA DE LATÃO, PVC, SOLDÁVEL, DN 25MM X 3/4 , INSTALADO EM RAMAL OU SUB-RAMAL DE ÁGUA - FORNECIMENTO E INSTALAÇÃO. </t>
  </si>
  <si>
    <t>12.29</t>
  </si>
  <si>
    <t>LUVA SOLDÁVEL E COM ROSCA, PVC, SOLDÁVEL, DN 25MM X 3/4 , INSTALADO EM RAMAL OU SUB-RAMAL DE ÁGUA - FORNECIMENTO E INSTALAÇÃO.</t>
  </si>
  <si>
    <t>12.30</t>
  </si>
  <si>
    <t xml:space="preserve"> UNIÃO, PVC, SOLDÁVEL, DN 25MM, INSTALADO EM PRUMADA DE ÁGUA - FORNECIMENTO E INSTALAÇÃO.</t>
  </si>
  <si>
    <t>12.31</t>
  </si>
  <si>
    <t>UNIÃO, EM FERRO GALVANIZADO, CONEXÃO ROSQUEADA, DN 20 (3/4"), INSTALADO EM RAMAIS E SUB-RAMAIS DE ÁGUA- FORNECIMENTO E INSTALAÇÃO.</t>
  </si>
  <si>
    <t>12.32</t>
  </si>
  <si>
    <t>12.33</t>
  </si>
  <si>
    <t xml:space="preserve">ADAPTADOR CURTO COM BOLSA E ROSCA PARA REGISTRO, PVC, SOLDÁVEL, DN 25MM X 3/4 , INSTALADO EM RAMAL OU SUB-RAMAL DE ÁGUA - FORNECIMENTO E INSTALAÇÃO. </t>
  </si>
  <si>
    <t>12.34</t>
  </si>
  <si>
    <t>ADAPTADOR CURTO COM BOLSA E ROSCA PARA REGISTRO, PVC, SOLDÁVEL, DN 32MM X 1 , INSTALADO EM RAMAL OU SUB-RAMAL DE ÁGUA - FORNECIMENTO E INSTALAÇÃO.</t>
  </si>
  <si>
    <t>12.35</t>
  </si>
  <si>
    <t xml:space="preserve">ADAPTADOR CURTO COM BOLSA E ROSCA PARA REGISTRO, PVC, SOLDÁVEL, DN 50MM X 1.1/2 , INSTALADO EM PRUMADA DE ÁGUA - FORNECIMENTO E INSTALAÇÃO. </t>
  </si>
  <si>
    <t>12.36</t>
  </si>
  <si>
    <t xml:space="preserve">BUCHA DE REDUÇÃO, CURTA, PVC, SOLDÁVEL, DN 32 X 25 MM, INSTALADO EM PRUMADA DE ÁGUA - FORNECIMENTO E INSTALAÇÃO. </t>
  </si>
  <si>
    <t>12.37</t>
  </si>
  <si>
    <t>BUCHA DE REDUÇÃO, PVC, SOLDÁVEL, DN 40MM X 32MM, INSTALADO EM PRUMADA DE ÁGUA - FORNECIMENTO E INSTALAÇÃO.</t>
  </si>
  <si>
    <t>12.38</t>
  </si>
  <si>
    <t>BUCHA DE REDUÇÃO, CURTA, PVC, SOLDÁVEL, DN 50 X 40 MM, INSTALADO EM PRUMADA DE ÁGUA - FORNECIMENTO E INSTALAÇÃO.</t>
  </si>
  <si>
    <t>12.39</t>
  </si>
  <si>
    <t>BUCHA DE REDUÇÃO, PVC, SOLDÁVEL, DN 60MM X 50MM, INSTALADO EM RAMAL OU SUB-RAMAL DE ÁGUA - FORNECIMENTO E INSTALAÇÃO.</t>
  </si>
  <si>
    <t>12.40</t>
  </si>
  <si>
    <t>12.41</t>
  </si>
  <si>
    <t xml:space="preserve">REGISTRO DE GAVETA BRUTO, LATÃO, ROSCÁVEL, 3/4", COM ACABAMENTO E CANOPLA CROMADOS - FORNECIMENTO E INSTALAÇÃO. </t>
  </si>
  <si>
    <t>12.42</t>
  </si>
  <si>
    <t xml:space="preserve">REGISTRO DE GAVETA BRUTO, LATÃO, ROSCÁVEL, 1", COM ACABAMENTO E CANOPLA CROMADOS - FORNECIMENTO E INSTALAÇÃO. </t>
  </si>
  <si>
    <t>12.43</t>
  </si>
  <si>
    <t xml:space="preserve">REGISTRO DE GAVETA BRUTO, LATÃO, ROSCÁVEL, 1 1/2", COM ACABAMENTO E CANOPLA CROMADOS - FORNECIMENTO E INSTALAÇÃO. </t>
  </si>
  <si>
    <t>12.44</t>
  </si>
  <si>
    <t xml:space="preserve">REGISTRO DE ESFERA, PVC, SOLDÁVEL, COM VOLANTE, DN 25 MM - FORNECIMENTO E INSTALAÇÃO. </t>
  </si>
  <si>
    <t>12.45</t>
  </si>
  <si>
    <t>VÁLVULA DE RETENÇÃO, DE BRONZE, PÉ COM CRIVOS, ROSCÁVEL, 1" - FORNECIMENTO E INSTALAÇÃO.</t>
  </si>
  <si>
    <t>12.46</t>
  </si>
  <si>
    <t>NIPLE, EM FERRO GALVANIZADO, CONEXÃO ROSQUEADA, DN 20 (3/4"), INSTALADO EM RAMAIS E SUB-RAMAIS DE ÁGUA- FORNECIMENTO E INSTALAÇÃO.</t>
  </si>
  <si>
    <t>12.47</t>
  </si>
  <si>
    <t xml:space="preserve">TORNEIRA DE BOIA PARA CAIXA D'ÁGUA, ROSCÁVEL, 3/4" - FORNECIMENTO E INSTALAÇÃO. </t>
  </si>
  <si>
    <t>12.48</t>
  </si>
  <si>
    <t>BOMBA CENTRÍFUGA, TRIFÁSICA, 1,5 CV OU 1,48 HP, HM 10 A 24 M, Q 6,1 A 21,9 M3/H - FORNECIMENTO E INSTALAÇÃO.</t>
  </si>
  <si>
    <t>12.49</t>
  </si>
  <si>
    <t>CONJUNTO HIDRÁULICO PARA INSTALAÇÃO DE BOMBA EM AÇO ROSCÁVEL, DN SUCÇÃO 32 (1 1/4) E DN RECALQUE 25 (1), PARA EDIFICAÇÃO ATÉ 4 PAVIMENTOS  FORNECIMENTO E INSTALAÇÃO.</t>
  </si>
  <si>
    <t>12.50</t>
  </si>
  <si>
    <t xml:space="preserve">HIDRÔMETRO DN 25 (¾ ), 5,0 M³/H FORNECIMENTO E INSTALAÇÃO. </t>
  </si>
  <si>
    <t>12.51</t>
  </si>
  <si>
    <t>13.1</t>
  </si>
  <si>
    <t xml:space="preserve">TUBO PVC, SERIE NORMAL, ESGOTO PREDIAL, DN 40 MM, FORNECIDO E INSTALADO EM RAMAL DE DESCARGA OU RAMAL DE ESGOTO SANITÁRIO. </t>
  </si>
  <si>
    <t>13.2</t>
  </si>
  <si>
    <t>TUBO PVC, SERIE NORMAL, ESGOTO PREDIAL, DN 50 MM, FORNECIDO E INSTALADO EM RAMAL DE DESCARGA OU RAMAL DE ESGOTO SANITÁRIO.</t>
  </si>
  <si>
    <t>13.3</t>
  </si>
  <si>
    <t>TUBO PVC, SERIE NORMAL, ESGOTO PREDIAL, DN 75 MM, FORNECIDO E INSTALADO EM RAMAL DE DESCARGA OU RAMAL DE ESGOTO SANITÁRIO.</t>
  </si>
  <si>
    <t>13.4</t>
  </si>
  <si>
    <t xml:space="preserve"> TUBO PVC, SERIE NORMAL, ESGOTO PREDIAL, DN 100 MM, FORNECIDO E INSTALADO EM RAMAL DE DESCARGA OU RAMAL DE ESGOTO SANITÁRIO.</t>
  </si>
  <si>
    <t>13.6</t>
  </si>
  <si>
    <t>13.7</t>
  </si>
  <si>
    <t>13.8</t>
  </si>
  <si>
    <t>JOELHO 45 GRAUS, PVC, SERIE NORMAL, ESGOTO PREDIAL, DN 40 MM, JUNTA SOLDÁVEL, FORNECIDO E INSTALADO EM RAMAL DE DESCARGA OU RAMAL DE ESGOTO SANITÁRIO.</t>
  </si>
  <si>
    <t>13.9</t>
  </si>
  <si>
    <t xml:space="preserve">JOELHO 45 GRAUS, PVC, SERIE NORMAL, ESGOTO PREDIAL, DN 50 MM, JUNTA ELÁSTICA, FORNECIDO E INSTALADO EM RAMAL DE DESCARGA OU RAMAL DE ESGOTO SANITÁRIO. </t>
  </si>
  <si>
    <t>13.10</t>
  </si>
  <si>
    <t xml:space="preserve">JOELHO 45 GRAUS, PVC, SERIE NORMAL, ESGOTO PREDIAL, DN 75 MM, JUNTA ELÁSTICA, FORNECIDO E INSTALADO EM RAMAL DE DESCARGA OU RAMAL DE ESGOTO SANITÁRIO. </t>
  </si>
  <si>
    <t>13.11</t>
  </si>
  <si>
    <t xml:space="preserve">JOELHO 45 GRAUS, PVC, SERIE NORMAL, ESGOTO PREDIAL, DN 100 MM, JUNTA ELÁSTICA, FORNECIDO E INSTALADO EM RAMAL DE DESCARGA OU RAMAL DE ESGOTO SANITÁRIO. </t>
  </si>
  <si>
    <t>13.12</t>
  </si>
  <si>
    <t xml:space="preserve">JOELHO 90 GRAUS, PVC, SERIE NORMAL, ESGOTO PREDIAL, DN 40 MM, JUNTA SOLDÁVEL, FORNECIDO E INSTALADO EM RAMAL DE DESCARGA OU RAMAL DE ESGOTO SANITÁRIO. </t>
  </si>
  <si>
    <t>13.13</t>
  </si>
  <si>
    <t xml:space="preserve">JOELHO 90 GRAUS, PVC, SERIE NORMAL, ESGOTO PREDIAL, DN 50 MM, JUNTA ELÁSTICA, FORNECIDO E INSTALADO EM RAMAL DE DESCARGA OU RAMAL DE ESGOTO SANITÁRIO. </t>
  </si>
  <si>
    <t>13.14</t>
  </si>
  <si>
    <t xml:space="preserve">JOELHO 90 GRAUS, PVC, SERIE NORMAL, ESGOTO PREDIAL, DN 75 MM, JUNTA ELÁSTICA, FORNECIDO E INSTALADO EM RAMAL DE DESCARGA OU RAMAL DE ESGOTO SANITÁRIO. </t>
  </si>
  <si>
    <t>13.15</t>
  </si>
  <si>
    <t xml:space="preserve">JOELHO 90 GRAUS, PVC, SERIE NORMAL, ESGOTO PREDIAL, DN 100 MM, JUNTA ELÁSTICA, FORNECIDO E INSTALADO EM RAMAL DE DESCARGA OU RAMAL DE ESGOTO SANITÁRIO. </t>
  </si>
  <si>
    <t>13.16</t>
  </si>
  <si>
    <t xml:space="preserve">JUNÇÃO SIMPLES, PVC, SERIE NORMAL, ESGOTO PREDIAL, DN 40 X 40 MM, JUNTA ELÁSTICA, FORNECIDO E INSTALADO EM RAMAL DE DESCARGA OU RAMAL DE ESGOTO SANITÁRIO. </t>
  </si>
  <si>
    <t>13.17</t>
  </si>
  <si>
    <t xml:space="preserve">JUNÇÃO SIMPLES, PVC, SERIE NORMAL, ESGOTO PREDIAL, DN 50 X 50 MM, JUNTA ELÁSTICA, FORNECIDO E INSTALADO EM RAMAL DE DESCARGA OU RAMAL DE ESGOTO SANITÁRIO. </t>
  </si>
  <si>
    <t>13.18</t>
  </si>
  <si>
    <t>13.19</t>
  </si>
  <si>
    <t>13.20</t>
  </si>
  <si>
    <t>13.21</t>
  </si>
  <si>
    <t>JUNÇÃO SIMPLES, PVC, SERIE NORMAL, ESGOTO PREDIAL, DN 100 X 100 MM, JUNTA ELÁSTICA, FORNECIDO E INSTALADO EM RAMAL DE DESCARGA OU RAMAL DE ESGOTO</t>
  </si>
  <si>
    <t>13.22</t>
  </si>
  <si>
    <t>LUVA SIMPLES, PVC, SERIE NORMAL, ESGOTO PREDIAL, DN 50 MM, JUNTA ELÁSTICA, FORNECIDO E INSTALADO EM RAMAL DE DESCARGA OU RAMAL DE ESGOTO SANITÁRIO.</t>
  </si>
  <si>
    <t>13.23</t>
  </si>
  <si>
    <t>LUVA SIMPLES, PVC, SERIE NORMAL, ESGOTO PREDIAL, DN 75 MM, JUNTA ELÁSTICA, FORNECIDO E INSTALADO EM RAMAL DE DESCARGA OU RAMAL DE ESGOTO SANITÁRIO.</t>
  </si>
  <si>
    <t>13.24</t>
  </si>
  <si>
    <t xml:space="preserve">LUVA SIMPLES, PVC, SERIE NORMAL, ESGOTO PREDIAL, DN 100 MM, JUNTA ELÁSTICA, FORNECIDO E INSTALADO EM RAMAL DE DESCARGA OU RAMAL DE ESGOTO SANITÁRIO. </t>
  </si>
  <si>
    <t>13.25</t>
  </si>
  <si>
    <t>13.26</t>
  </si>
  <si>
    <t>REDUÇÃO EXCÊNTRICA, PVC, SERIE R, ÁGUA PLUVIAL, DN 100 X 75 MM, JUNTA ELÁSTICA, FORNECIDO E INSTALADO EM RAMAL DE ENCAMINHAMENTO.</t>
  </si>
  <si>
    <t>13.27</t>
  </si>
  <si>
    <t>13.28</t>
  </si>
  <si>
    <t>13.29</t>
  </si>
  <si>
    <t>TE, PVC, SERIE NORMAL, ESGOTO PREDIAL, DN 50 X 50 MM, JUNTA ELÁSTICA, FORNECIDO E INSTALADO EM RAMAL DE DESCARGA OU RAMAL DE ESGOTO SANITÁRIO.</t>
  </si>
  <si>
    <t>13.30</t>
  </si>
  <si>
    <t>13.31</t>
  </si>
  <si>
    <t>13.32</t>
  </si>
  <si>
    <t>TE, PVC, SÉRIE NORMAL, ESGOTO PREDIAL, DN 100 X 75 MM, JUNTA ELÁSTICA, FORNECIDO E INSTALADO EM RAMAL DE DESCARGA OU RAMAL DE ESGOTO SANITÁRIO.</t>
  </si>
  <si>
    <t>13.33</t>
  </si>
  <si>
    <t>13.34</t>
  </si>
  <si>
    <t>CAIXA SIFONADA, COM GRELHA QUADRADA, PVC, DN 150 X 150 X 50 MM, JUNTA SOLDÁVEL, FORNECIDA E INSTALADA EM RAMAL DE DESCARGA OU EM RAMAL DE ESGOTO SANITÁRIO.</t>
  </si>
  <si>
    <t>13.35</t>
  </si>
  <si>
    <t xml:space="preserve">CAIXA SIFONADA, PVC, DN 150 X 185 X 75 MM, JUNTA ELÁSTICA, FORNECIDA E INSTALADA EM RAMAL DE DESCARGA OU EM RAMAL DE ESGOTO SANITÁRIO. , FORNECIDA E INSTALADA EM RAMAIS DE ENCAMINHAMENTO DE ÁGUA PLUVIAL. </t>
  </si>
  <si>
    <t>13.36</t>
  </si>
  <si>
    <t>13.37</t>
  </si>
  <si>
    <t>CAIXA DE GORDURA SIMPLES (CAPACIDADE: 52 L), RETANGULAR, EM ALVENARIA COM BLOCOS DE CONCRETO, DIMENSÕES INTERNAS = 0,52 x 0,33 M, ALTURA INTERNA = 0,51 M.</t>
  </si>
  <si>
    <t>13.38</t>
  </si>
  <si>
    <t xml:space="preserve">RALO SECO, PVC, DN 100 X 40 MM, JUNTA SOLDÁVEL, FORNECIDO E INSTALADO EM RAMAL DE DESCARGA OU EM RAMAL DE ESGOTO SANITÁRIO. </t>
  </si>
  <si>
    <t>13.39</t>
  </si>
  <si>
    <t>SUMIDOURO RETANGULAR, EM ALVENARIA COM TIJOLOS CERÂMICOS MACIÇOS, DIMENSÕES INTERNAS: 1,6 X 5,8 X H=3,0 M, ÁREA DE INFILTRAÇÃO: 50 M² (PARA 20 CONTRIBUINTES).</t>
  </si>
  <si>
    <t xml:space="preserve">TUBO PVC, SÉRIE R, ÁGUA PLUVIAL, DN 75 MM, FORNECIDO E INSTALADO EM RAMAL DE ENCAMINHAMENTO. </t>
  </si>
  <si>
    <t>TUBO PVC, SÉRIE R, ÁGUA PLUVIAL, DN 100 MM, FORNECIDO E INSTALADO EM RAMAL DE ENCAMINHAMENTO.</t>
  </si>
  <si>
    <t xml:space="preserve">CAIXA ENTERRADA ELÉTRICA RETANGULAR, EM CONCRETO PRÉ-MOLDADO, FUNDO COM BRITA, DIMENSÕES INTERNAS: 0,4X0,4X0,4 M. </t>
  </si>
  <si>
    <t>97882</t>
  </si>
  <si>
    <t xml:space="preserve">JOELHO 45 GRAUS, PVC, SOLDÁVEL, DN 25MM, INSTALADO EM PRUMADA DE ÁGUA - FORNECIMENTO E INSTALAÇÃO. </t>
  </si>
  <si>
    <t>89485</t>
  </si>
  <si>
    <t>JOELHO 90 GRAUS, PVC, SOLDÁVEL, DN 25MM, INSTALADO EM PRUMADA DE ÁGUA - FORNECIMENTO E INSTALAÇÃO.</t>
  </si>
  <si>
    <t>89481</t>
  </si>
  <si>
    <t>16.1</t>
  </si>
  <si>
    <t>TUBO DE AÇO GALVANIZADO COM COSTURA, CLASSE MÉDIA, CONEXÃO ROSQUEADA, DN 15 (1/2"), INSTALADO EM RAMAIS E SUB-RAMAIS DE GÁS - FORNECIMENTO E INSTALAÇÃO.</t>
  </si>
  <si>
    <t>16.2</t>
  </si>
  <si>
    <t>TUBO DE AÇO GALVANIZADO COM COSTURA, CLASSE MÉDIA, CONEXÃO ROSQUEADA, DN 20 (3/4"), INSTALADO EM RAMAIS E SUB-RAMAIS DE GÁS - FORNECIMENTO E INSTALAÇÃO.</t>
  </si>
  <si>
    <t>16.3</t>
  </si>
  <si>
    <t>TUBO DE AÇO GALVANIZADO COM COSTURA, CLASSE MÉDIA, DN 50 (2"), CONEXÃO ROSQUEADA, INSTALADO EM PRUMADAS - FORNECIMENTO E INSTALAÇÃO.</t>
  </si>
  <si>
    <t>16.4</t>
  </si>
  <si>
    <t>16.5</t>
  </si>
  <si>
    <t xml:space="preserve">JOELHO 90 GRAUS, EM FERRO GALVANIZADO, CONEXÃO ROSQUEADA, DN 20 (3/4"), INSTALADO EM RAMAIS E SUB-RAMAIS DE GÁS - FORNECIMENTO E INSTALAÇÃO. </t>
  </si>
  <si>
    <t>16.6</t>
  </si>
  <si>
    <t>TÊ, EM AÇO, CONEXÃO SOLDADA, DN 20 (3/4"), INSTALADO EM RAMAIS E SUB-RAMAIS DE GÁS - FORNECIMENTO E INSTALAÇÃO.</t>
  </si>
  <si>
    <t>16.7</t>
  </si>
  <si>
    <t>16.8</t>
  </si>
  <si>
    <t>16.9</t>
  </si>
  <si>
    <t>16.10</t>
  </si>
  <si>
    <t>17.1</t>
  </si>
  <si>
    <t>EXTINTOR DE INCÊNDIO PORTÁTIL COM CARGA DE PQS DE 6 KG, CLASSE BC - FORNECIMENTO E INSTALAÇÃO.</t>
  </si>
  <si>
    <t>17.2</t>
  </si>
  <si>
    <t>EXTINTOR DE INCÊNDIO PORTÁTIL COM CARGA DE CO2 DE 6 KG, CLASSE BC - FORNECIMENTO E INSTALAÇÃO.</t>
  </si>
  <si>
    <t>17.3</t>
  </si>
  <si>
    <t xml:space="preserve">LUMINÁRIA DE EMERGÊNCIA, COM 30 LÂMPADAS LED DE 2 W, SEM REATOR - FORNECIMENTO E INSTALAÇÃO. </t>
  </si>
  <si>
    <t>17.4</t>
  </si>
  <si>
    <t>Extintor</t>
  </si>
  <si>
    <t>Hidrante</t>
  </si>
  <si>
    <t>Sinalização de rota fuga</t>
  </si>
  <si>
    <t>Sinalização final de rota</t>
  </si>
  <si>
    <t>17.5</t>
  </si>
  <si>
    <t>Placas S1 (Saída de Emergência)</t>
  </si>
  <si>
    <t>Placas S2 (Saída de Emergência)</t>
  </si>
  <si>
    <t>Placas S12 (Saída de Emergência)</t>
  </si>
  <si>
    <t>17.6</t>
  </si>
  <si>
    <t>Placa Sirene (E12)</t>
  </si>
  <si>
    <t>Placa Bomba de Incêndio (E11)</t>
  </si>
  <si>
    <t>Placa Hidrante de incêndio (E9)</t>
  </si>
  <si>
    <t>Placa Extintor de incêndio (E5)</t>
  </si>
  <si>
    <t>17.7</t>
  </si>
  <si>
    <t>ABRIGO PARA HIDRANTE, 90X60X17CM, COM REGISTRO GLOBO ANGULAR 45 GRAUS 2 1/2", ADAPTADOR STORZ 2 1/2", MANGUEIRA DE INCÊNDIO 20M, REDUÇÃO 2 1/2 X 1 1/2" E ESGUICHO EM LATÃO 1 1/2" - FORNECIMENTO E INSTALAÇÃO.</t>
  </si>
  <si>
    <t>17.8</t>
  </si>
  <si>
    <t xml:space="preserve">HIDRANTE SUBTERRÂNEO PREDIAL (COM CURVA LONGA E CAIXA), DN 75 MM - FORNECIMENTO E INSTALAÇÃO. </t>
  </si>
  <si>
    <t>17.9</t>
  </si>
  <si>
    <t>TUBO DE AÇO GALVANIZADO COM COSTURA, CLASSE MÉDIA, DN 32 (1 1/4"), CONEXÃO ROSQUEADA, INSTALADO EM REDE DE ALIMENTAÇÃO PARA HIDRANTE - FORNECIMENTO E INSTALAÇÃO.</t>
  </si>
  <si>
    <t>17.10</t>
  </si>
  <si>
    <t xml:space="preserve">TUBO DE AÇO GALVANIZADO COM COSTURA, CLASSE MÉDIA, DN 65 (2 1/2"), CONEXÃO ROSQUEADA, INSTALADO EM REDE DE ALIMENTAÇÃO PARA HIDRANTE - FORNECIMENTO E INSTALAÇÃO. </t>
  </si>
  <si>
    <t>17.11</t>
  </si>
  <si>
    <t>JOELHO 45 GRAUS, EM FERRO GALVANIZADO, DN 32 (1 1/4"), CONEXÃO ROSQUEADA, INSTALADO EM REDE DE ALIMENTAÇÃO PARA HIDRANTE - FORNECIMENTO E INSTALAÇÃO.</t>
  </si>
  <si>
    <t>17.12</t>
  </si>
  <si>
    <t xml:space="preserve">REGISTRO DE GAVETA BRUTO, LATÃO, ROSCÁVEL, 2 1/2" - FORNECIMENTO E INSTALAÇÃO. </t>
  </si>
  <si>
    <t>17.13</t>
  </si>
  <si>
    <t xml:space="preserve">REGISTRO OU VÁLVULA GLOBO ANGULAR EM LATÃO, PARA HIDRANTES EM INSTALAÇÃO PREDIAL DE INCÊNDIO, 45 GRAUS, 2 1/2" - FORNECIMENTO E INSTALAÇÃO. </t>
  </si>
  <si>
    <t>17.14</t>
  </si>
  <si>
    <t>TÊ, EM FERRO GALVANIZADO, CONEXÃO ROSQUEADA, DN 65 (2 1/2"), INSTALADO EM REDE DE ALIMENTAÇÃO PARA HIDRANTE - FORNECIMENTO E INSTALAÇÃO.</t>
  </si>
  <si>
    <t>17.15</t>
  </si>
  <si>
    <t>17.16</t>
  </si>
  <si>
    <t>17.18</t>
  </si>
  <si>
    <t>17.19</t>
  </si>
  <si>
    <t>VÁLVULA DE RETENÇÃO, DE BRONZE, PÉ COM CRIVOS, ROSCÁVEL, 2 1/2" - FORNECIMENTO E INSTALAÇÃO.</t>
  </si>
  <si>
    <t>CONJUNTO HIDRÁULICO PARA INSTALAÇÃO DE BOMBA EM AÇO ROSCÁVEL, DN SUCÇÃO 32 (1 1/4) E DN RECALQUE 25 (1), PARA EDIFICAÇÃO ATÉ 4 PAVIMENTOS. FORNECIMENTO E INSTALAÇÃO.</t>
  </si>
  <si>
    <t>18.1</t>
  </si>
  <si>
    <t>CENTRO DE DISTRIBUIÇÃO</t>
  </si>
  <si>
    <t>18.1.1</t>
  </si>
  <si>
    <t>18.1.2</t>
  </si>
  <si>
    <t>18.1.3</t>
  </si>
  <si>
    <t>QUADRO DE DISTRIBUIÇÃO DE ENERGIA EM CHAPA DE AÇO GALVANIZADO, DE EMBUTIR, COM BARRAMENTO TRIFÁSICO, PARA 40 DISJUNTORES DIN 100A - FORNECIMENTO E INSTALAÇÃO.</t>
  </si>
  <si>
    <t>18.1.4</t>
  </si>
  <si>
    <t>18.2</t>
  </si>
  <si>
    <t>DISJUNTORES</t>
  </si>
  <si>
    <t>18.2.1</t>
  </si>
  <si>
    <t>18.2.2</t>
  </si>
  <si>
    <t>18.2.3</t>
  </si>
  <si>
    <t>18.2.4</t>
  </si>
  <si>
    <t>DISJUNTOR MONOPOLAR TIPO DIN, CORRENTE NOMINAL DE 10A - FORNECIMENTO E INSTALAÇÃO.</t>
  </si>
  <si>
    <t>18.2.5</t>
  </si>
  <si>
    <t xml:space="preserve">DISJUNTOR MONOPOLAR TIPO DIN, CORRENTE NOMINAL DE 16A - FORNECIMENTO E INSTALAÇÃO. </t>
  </si>
  <si>
    <t>18.2.6</t>
  </si>
  <si>
    <t xml:space="preserve">DISJUNTOR MONOPOLAR TIPO DIN, CORRENTE NOMINAL DE 20A - FORNECIMENTO E INSTALAÇÃO.  </t>
  </si>
  <si>
    <t>18.2.7</t>
  </si>
  <si>
    <t>18.2.8</t>
  </si>
  <si>
    <t>18.2.11</t>
  </si>
  <si>
    <t>18.2.12</t>
  </si>
  <si>
    <t>18.2.13</t>
  </si>
  <si>
    <t>18.2.14</t>
  </si>
  <si>
    <t>18.3</t>
  </si>
  <si>
    <t>ELETRODUTOS E ACESSÓRIOS</t>
  </si>
  <si>
    <t>18.3.1</t>
  </si>
  <si>
    <t>ELETRODUTO FLEXÍVEL CORRUGADO, PVC, DN 25 MM (3/4"), PARA CIRCUITOS TERMINAIS, INSTALADO EM FORRO - FORNECIMENTO E INSTALAÇÃO.</t>
  </si>
  <si>
    <t>18.3.2</t>
  </si>
  <si>
    <t>18.3.3</t>
  </si>
  <si>
    <t>18.3.4</t>
  </si>
  <si>
    <t xml:space="preserve">ELETRODUTO FLEXÍVEL CORRUGADO, PEAD, DN 40 MM (1 1/4"), PARA CIRCUITOS TERMINAIS, INSTALADO EM FORRO - FORNECIMENTO E INSTALAÇÃO.  </t>
  </si>
  <si>
    <t>18.3.5</t>
  </si>
  <si>
    <t>18.3.6</t>
  </si>
  <si>
    <t>18.3.7</t>
  </si>
  <si>
    <t>ELETRODUTO RÍGIDO ROSCÁVEL, PVC, DN 25 MM (3/4"), PARA CIRCUITOS TERMINAIS, INSTALADO EM FORRO - FORNECIMENTO E INSTALAÇÃO.</t>
  </si>
  <si>
    <t>18.3.8</t>
  </si>
  <si>
    <t>18.3.9</t>
  </si>
  <si>
    <t xml:space="preserve">ELETRODUTO RÍGIDO ROSCÁVEL, PVC, DN 40 MM (1 1/4"), PARA CIRCUITOS TERMINAIS, INSTALADO EM FORRO - FORNECIMENTO E INSTALAÇÃO. </t>
  </si>
  <si>
    <t>18.3.10</t>
  </si>
  <si>
    <t>18.3.11</t>
  </si>
  <si>
    <t>18.3.12</t>
  </si>
  <si>
    <t xml:space="preserve">CAIXA RETANGULAR 4" X 2" MÉDIA (1,30 M DO PISO), PVC, INSTALADA EM PAREDE - FORNECIMENTO E INSTALAÇÃO. </t>
  </si>
  <si>
    <t>18.3.13</t>
  </si>
  <si>
    <t xml:space="preserve">CAIXA OCTOGONAL 4" X 4", PVC, INSTALADA EM LAJE - FORNECIMENTO E INSTALAÇÃO. </t>
  </si>
  <si>
    <t>18.3.14</t>
  </si>
  <si>
    <t>CURVA 90 GRAUS PARA ELETRODUTO, PVC, ROSCÁVEL, DN 25 MM (3/4"), PARA CIRCUITOS TERMINAIS, INSTALADA EM FORRO - FORNECIMENTO E INSTALAÇÃO.</t>
  </si>
  <si>
    <t>LUVA PARA ELETRODUTO, PVC, ROSCÁVEL, DN 25 MM (3/4"), PARA CIRCUITOS TERMINAIS, INSTALADA EM FORRO - FORNECIMENTO E INSTALAÇÃO.</t>
  </si>
  <si>
    <t xml:space="preserve">LUVA PARA ELETRODUTO, PVC, ROSCÁVEL, DN 40 MM (1 1/4"), PARA CIRCUITOS TERMINAIS, INSTALADA EM FORRO - FORNECIMENTO E INSTALAÇÃO. </t>
  </si>
  <si>
    <t>18.4</t>
  </si>
  <si>
    <t>CABOS E FIOS (CONDUTORES)</t>
  </si>
  <si>
    <t>18.4.1</t>
  </si>
  <si>
    <t>CABO DE COBRE FLEXÍVEL ISOLADO, 1,5 MM², ANTI-CHAMA 450/750 V, PARA CIRCUITOS TERMINAIS - FORNECIMENTO E INSTALAÇÃO.</t>
  </si>
  <si>
    <t>18.4.2</t>
  </si>
  <si>
    <t xml:space="preserve">CABO DE COBRE FLEXÍVEL ISOLADO, 2,5 MM², ANTI-CHAMA 450/750 V, PARA CIRCUITOS TERMINAIS - FORNECIMENTO E INSTALAÇÃO. </t>
  </si>
  <si>
    <t>18.4.3</t>
  </si>
  <si>
    <t xml:space="preserve">CABO DE COBRE FLEXÍVEL ISOLADO, 4 MM², ANTI-CHAMA 450/750 V, PARA CIRCUITOS TERMINAIS - FORNECIMENTO E INSTALAÇÃO. </t>
  </si>
  <si>
    <t>18.4.4</t>
  </si>
  <si>
    <t xml:space="preserve">CABO DE COBRE FLEXÍVEL ISOLADO, 6 MM², ANTI-CHAMA 450/750 V, PARA CIRCUITOS TERMINAIS - FORNECIMENTO E INSTALAÇÃO. </t>
  </si>
  <si>
    <t>18.4.5</t>
  </si>
  <si>
    <t>18.4.6</t>
  </si>
  <si>
    <t xml:space="preserve">CABO DE COBRE FLEXÍVEL ISOLADO, 16 MM², ANTI-CHAMA 450/750 V, PARA CIRCUITOS TERMINAIS - FORNECIMENTO E INSTALAÇÃO. </t>
  </si>
  <si>
    <t>18.4.7</t>
  </si>
  <si>
    <t>CABO DE COBRE FLEXÍVEL ISOLADO, 25 MM², ANTI-CHAMA 0,6/1,0 KV, PARA REDE ENTERRADA DE DISTRIBUIÇÃO DE ENERGIA ELÉTRICA - FORNECIMENTO E INSTALAÇÃO.</t>
  </si>
  <si>
    <t>CABO DE COBRE FLEXÍVEL ISOLADO, 35 MM², ANTI-CHAMA 0,6/1,0 KV, PARA REDE ENTERRADA DE DISTRIBUIÇÃO DE ENERGIA ELÉTRICA - FORNECIMENTO E INSTALAÇÃO.</t>
  </si>
  <si>
    <t>18.5</t>
  </si>
  <si>
    <t>ILUMINAÇÃO E TOMADA</t>
  </si>
  <si>
    <t>18.5.1</t>
  </si>
  <si>
    <t>TOMADA ALTA DE EMBUTIR (1 MÓDULO), 2P+T 10 A, INCLUINDO SUPORTE E PLACA - FORNECIMENTO E INSTALAÇÃO.</t>
  </si>
  <si>
    <t>18.5.2</t>
  </si>
  <si>
    <t>TOMADA MÉDIA DE EMBUTIR (1 MÓDULO), 2P+T 10 A, INCLUINDO SUPORTE E PLACA - FORNECIMENTO E INSTALAÇÃO.</t>
  </si>
  <si>
    <t>18.5.3</t>
  </si>
  <si>
    <t>TOMADA BAIXA DE EMBUTIR (1 MÓDULO), 2P+T 10 A, INCLUINDO SUPORTE E PLACA - FORNECIMENTO E INSTALAÇÃO.</t>
  </si>
  <si>
    <t>18.5.4</t>
  </si>
  <si>
    <t xml:space="preserve"> TOMADA ALTA DE EMBUTIR (1 MÓDULO), 2P+T 20 A, INCLUINDO SUPORTE E PLACA - FORNECIMENTO E INSTALAÇÃO. </t>
  </si>
  <si>
    <t>18.5.5</t>
  </si>
  <si>
    <t>TOMADA MÉDIA DE EMBUTIR (1 MÓDULO), 2P+T 20 A, INCLUINDO SUPORTE E PLACA - FORNECIMENTO E INSTALAÇÃO.</t>
  </si>
  <si>
    <t>18.5.6</t>
  </si>
  <si>
    <t>TOMADA MÉDIA DE EMBUTIR (2 MÓDULOS), 2P+T 10 A, INCLUINDO SUPORTE E PLACA - FORNECIMENTO E INSTALAÇÃO.</t>
  </si>
  <si>
    <t>18.5.7</t>
  </si>
  <si>
    <t xml:space="preserve">TOMADA BAIXA DE EMBUTIR (2 MÓDULOS), 2P+T 10 A, INCLUINDO SUPORTE E PLACA - FORNECIMENTO E INSTALAÇÃO. </t>
  </si>
  <si>
    <t>18.5.8</t>
  </si>
  <si>
    <t>INTERRUPTOR SIMPLES (1 MÓDULO) COM 1 TOMADA DE EMBUTIR 2P+T 10 A,  INCLUINDO SUPORTE E PLACA - FORNECIMENTO E INSTALAÇÃO.</t>
  </si>
  <si>
    <t>18.5.9</t>
  </si>
  <si>
    <t>INTERRUPTOR PARALELO (1 MÓDULO) COM 1 TOMADA DE EMBUTIR 2P+T 10 A, INCLUINDO SUPORTE E PLACA - FORNECIMENTO E INSTALAÇÃO.</t>
  </si>
  <si>
    <t>18.5.10</t>
  </si>
  <si>
    <t>EQUIPAMENTOS PASSIVOS</t>
  </si>
  <si>
    <t>19.1.1</t>
  </si>
  <si>
    <t>19.1.2</t>
  </si>
  <si>
    <t>19.2</t>
  </si>
  <si>
    <t>CABOS EM PAR TRANÇADOS</t>
  </si>
  <si>
    <t>19.2.1</t>
  </si>
  <si>
    <t>CABO LÓGICO 4 PARES, CATEGORIA 6 - UTP.</t>
  </si>
  <si>
    <t>Cabos em Conduítes</t>
  </si>
  <si>
    <t>Cabos em Bandejas</t>
  </si>
  <si>
    <t>19.2.2</t>
  </si>
  <si>
    <t>19.3</t>
  </si>
  <si>
    <t>TOMADAS</t>
  </si>
  <si>
    <t>19.3.1</t>
  </si>
  <si>
    <t xml:space="preserve">TOMADA DE REDE RJ45 - FORNECIMENTO E INSTALAÇÃO. </t>
  </si>
  <si>
    <t>19.4</t>
  </si>
  <si>
    <t>CAIXAS E ACESSÓRIOS</t>
  </si>
  <si>
    <t>19.4.1</t>
  </si>
  <si>
    <t>19.5</t>
  </si>
  <si>
    <t>19.5.1</t>
  </si>
  <si>
    <t>19.5.2</t>
  </si>
  <si>
    <t>19.5.3</t>
  </si>
  <si>
    <t>19.5.5</t>
  </si>
  <si>
    <t xml:space="preserve">CURVA 90 GRAUS PARA ELETRODUTO, PVC, ROSCÁVEL, DN 25 MM (3/4"), PARA CIRCUITOS TERMINAIS, INSTALADA EM FORRO - FORNECIMENTO E INSTALAÇÃO. </t>
  </si>
  <si>
    <t xml:space="preserve">LUVA PARA ELETRODUTO, PVC, ROSCÁVEL, DN 25 MM (3/4"), PARA CIRCUITOS TERMINAIS, INSTALADA EM FORRO - FORNECIMENTO E INSTALAÇÃO. </t>
  </si>
  <si>
    <t>20.1</t>
  </si>
  <si>
    <t xml:space="preserve">CAPTOR TIPO FRANKLIN PARA SPDA - FORNECIMENTO E INSTALAÇÃO. </t>
  </si>
  <si>
    <t>20.2</t>
  </si>
  <si>
    <t>20.3</t>
  </si>
  <si>
    <t xml:space="preserve">HASTE DE ATERRAMENTO 5/8  PARA SPDA - FORNECIMENTO E INSTALAÇÃO. </t>
  </si>
  <si>
    <t>20.4</t>
  </si>
  <si>
    <t>MINICAPTOR, EM ACO GALVANIZADO A FOGO, FIXACAO HORIZONTAL DE 1 FUROS, SEM BANDEIRA, H=300 MM X DN=10 MM.</t>
  </si>
  <si>
    <t>20.5</t>
  </si>
  <si>
    <t xml:space="preserve">CORDOALHA DE COBRE NU 35 MM², NÃO ENTERRADA, COM ISOLADOR - FORNECIMENTO E INSTALAÇÃO. </t>
  </si>
  <si>
    <t>20.6</t>
  </si>
  <si>
    <t xml:space="preserve">CORDOALHA DE COBRE NU 50 MM², NÃO ENTERRADA, COM ISOLADOR - FORNECIMENTO E INSTALAÇÃO. </t>
  </si>
  <si>
    <t>20.7</t>
  </si>
  <si>
    <t xml:space="preserve">CAIXA DE INSPEÇÃO PARA ATERRAMENTO, CIRCULAR, EM POLIETILENO, DIÂMETRO INTERNO = 0,3 M. </t>
  </si>
  <si>
    <t>20.8</t>
  </si>
  <si>
    <t>20.9</t>
  </si>
  <si>
    <t>20.10</t>
  </si>
  <si>
    <t xml:space="preserve">CONDULETE DE PVC, TIPO X, PARA ELETRODUTO DE PVC SOLDÁVEL DN 32 MM (1''), APARENTE - FORNECIMENTO E INSTALAÇÃO. </t>
  </si>
  <si>
    <t>20.11</t>
  </si>
  <si>
    <t>20.12</t>
  </si>
  <si>
    <t>20.13</t>
  </si>
  <si>
    <t>20.14</t>
  </si>
  <si>
    <t>20.15</t>
  </si>
  <si>
    <t>20.16</t>
  </si>
  <si>
    <t>20.17</t>
  </si>
  <si>
    <t>ELETRODUTO RÍGIDO ROSCÁVEL, PVC, DN 32 MM (1"), PARA CIRCUITOS TERMINAIS, INSTALADO EM PAREDE - FORNECIMENTO E INSTALAÇÃO.</t>
  </si>
  <si>
    <t>21.1</t>
  </si>
  <si>
    <t>21.2</t>
  </si>
  <si>
    <t>CLIMATIZAÇÃO</t>
  </si>
  <si>
    <t>TUBO EM COBRE FLEXÍVEL, DN 1/4", COM ISOLAMENTO, INSTALADO EM FORRO, PARA RAMAL DE ALIMENTAÇÃO DE AR CONDICIONADO, INCLUSO FIXADOR.</t>
  </si>
  <si>
    <t>TUBO EM COBRE FLEXÍVEL, DN 3/8", COM ISOLAMENTO, INSTALADO EM FORRO, PARA RAMAL DE ALIMENTAÇÃO DE AR CONDICIONADO, INCLUSO FIXADOR.</t>
  </si>
  <si>
    <t>24.6</t>
  </si>
  <si>
    <t>24.7</t>
  </si>
  <si>
    <t>24.8</t>
  </si>
  <si>
    <t>24.9</t>
  </si>
  <si>
    <t>24.10</t>
  </si>
  <si>
    <t>24.11</t>
  </si>
  <si>
    <t>24.12</t>
  </si>
  <si>
    <t>24.13</t>
  </si>
  <si>
    <t>24.14</t>
  </si>
  <si>
    <t>24.15</t>
  </si>
  <si>
    <t>24.16</t>
  </si>
  <si>
    <t>24.17</t>
  </si>
  <si>
    <t>24.18</t>
  </si>
  <si>
    <t>24.19</t>
  </si>
  <si>
    <t>24.20</t>
  </si>
  <si>
    <t>24.21</t>
  </si>
  <si>
    <t>24.22</t>
  </si>
  <si>
    <t>25.3</t>
  </si>
  <si>
    <t>25.4</t>
  </si>
  <si>
    <t>25.5</t>
  </si>
  <si>
    <t>26.0</t>
  </si>
  <si>
    <t>26.1</t>
  </si>
  <si>
    <t>MAST-001</t>
  </si>
  <si>
    <t>MASTRO SIMPLES GALVANIZADO DE DIÂMETRO 2''.</t>
  </si>
  <si>
    <t xml:space="preserve">Mastro tipo 1 </t>
  </si>
  <si>
    <t>Mastro tipo 2</t>
  </si>
  <si>
    <t>8.10</t>
  </si>
  <si>
    <t>8.11</t>
  </si>
  <si>
    <t>8.12</t>
  </si>
  <si>
    <t>7.3</t>
  </si>
  <si>
    <t>10.2.4</t>
  </si>
  <si>
    <t>11.7</t>
  </si>
  <si>
    <t>18.2.9</t>
  </si>
  <si>
    <t>18.2.10</t>
  </si>
  <si>
    <t>19.1</t>
  </si>
  <si>
    <t>19.3.2</t>
  </si>
  <si>
    <t>19.5.4</t>
  </si>
  <si>
    <t>Será a mesma área do chapisco.</t>
  </si>
  <si>
    <t>Total</t>
  </si>
  <si>
    <t>EXECUÇÃO DE REFEITÓRIO EM CANTEIRO DE OBRA EM CHAPA DE MADEIRA COMPENSADA, NÃO INCLUSO MOBILIÁRIO E EQUIPAMENTOS.</t>
  </si>
  <si>
    <t>APLICAÇÃO MANUAL DE FUNDO SELADOR ACRÍLICO EM PAREDES EXTERNAS DE CASAS.</t>
  </si>
  <si>
    <t xml:space="preserve">OBRA: </t>
  </si>
  <si>
    <t xml:space="preserve">ENDEREÇO: </t>
  </si>
  <si>
    <t>5.11</t>
  </si>
  <si>
    <t>INSUMO</t>
  </si>
  <si>
    <t>ADITIVO SUPERPLASTIFICANTE DE PEGA NORMAL PARA CONCRETO, LIQUIDO E ISENTO DE CLORETOS</t>
  </si>
  <si>
    <t>Sapatas dos Pilares da Coberta</t>
  </si>
  <si>
    <t>ARMAÇÃO DE BLOCO, VIGA BALDRAME OU SAPATA UTILIZANDO AÇO CA-50 DE 10 MM - MONTAGEM.</t>
  </si>
  <si>
    <t>3.2.4</t>
  </si>
  <si>
    <t>SERVIÇOS PRELIMINARES</t>
  </si>
  <si>
    <t>IMPERMEABILIZAÇÃO</t>
  </si>
  <si>
    <t>LIMPEZA MECANIZADA DE CAMADA VEGETAL, VEGETAÇÃO E PEQUENAS ÁRVORES (DIÂMETRO DE TRONCO MENOR QUE 0,20 M), COM TRATOR DE ESTEIRAS.</t>
  </si>
  <si>
    <t>Código</t>
  </si>
  <si>
    <t>Banco</t>
  </si>
  <si>
    <t>Descrição</t>
  </si>
  <si>
    <t>Und</t>
  </si>
  <si>
    <t>Quant.</t>
  </si>
  <si>
    <t>Valor Unit</t>
  </si>
  <si>
    <t>Valor Unit com BDI</t>
  </si>
  <si>
    <t>CHP</t>
  </si>
  <si>
    <t>CHI</t>
  </si>
  <si>
    <t>Encargos Sociais Desonerado: 0,00%</t>
  </si>
  <si>
    <t xml:space="preserve">PISO PODOTÁTIL DE ALERTA OU DIRECIONAL, DE BORRACHA, ASSENTADO SOBRE ARGAMASSA. </t>
  </si>
  <si>
    <t>FORNECIMENTO E ASSENTAMENTO DE JUNTAS PLÁSTICAS PARA PISOS 27 x 3MM.</t>
  </si>
  <si>
    <t>9.2.8</t>
  </si>
  <si>
    <t>Meio-fio</t>
  </si>
  <si>
    <t>9.2.9</t>
  </si>
  <si>
    <t>LASTRO COM MATERIAL GRANULAR (TERRA VEGETAL), APLICADO SOBRE SOLO.</t>
  </si>
  <si>
    <t>Grama</t>
  </si>
  <si>
    <t xml:space="preserve">CARGA, MANOBRA E DESCARGA DE SOLOS E MATERIAIS GRANULARES EM CAMINHÃO BASCULANTE 10 M³ - CARGA COM PÁ CARREGADEIRA (CAÇAMBA DE 1,7 A 2,8 M³ / 128 HP) E DESCARGA LIVRE (UNIDADE: M3). </t>
  </si>
  <si>
    <t xml:space="preserve">TRANSPORTE COM CAMINHÃO BASCULANTE DE 10 M³, EM VIA URBANA EM REVESTIMENTO PRIMÁRIO (UNIDADE: M3XKM). </t>
  </si>
  <si>
    <t>Transporte</t>
  </si>
  <si>
    <t>m³km</t>
  </si>
  <si>
    <t>Hora/sem</t>
  </si>
  <si>
    <t>h/sem  x</t>
  </si>
  <si>
    <t>sem  x</t>
  </si>
  <si>
    <t>TÉCNICO EM SEGURANÇA DO TRABALHO COM ENCARGOS COMPLEMENTARES</t>
  </si>
  <si>
    <t>meses  x</t>
  </si>
  <si>
    <t>Qtd de Vigias</t>
  </si>
  <si>
    <t>1.12</t>
  </si>
  <si>
    <t>1.13</t>
  </si>
  <si>
    <t>PEITORIL DE CONCRETO ARMADO COM PINGADEIRA LARGURA 13 CM.</t>
  </si>
  <si>
    <t>PROPRIO</t>
  </si>
  <si>
    <t xml:space="preserve">CONECTOR EM BRONZE/LATÃO, DN 22 MM X 3/4, SEM ANEL DE SOLDA, BOLSA X ROSCA F, INSTALADO EM RAMAL E SUB-RAMAL DE GÁS COMBUSTÍVEL - FORNECIMENTO E INSTALAÇÃO. </t>
  </si>
  <si>
    <t xml:space="preserve"> RACK FECHADO PARA SERVIDOR - FORNECIMENTO E INSTALAÇÃO. </t>
  </si>
  <si>
    <t>PLACA DE SINALIZAÇÃO DE AMBIENTE (PAREDE INTERNA).</t>
  </si>
  <si>
    <t>21.3</t>
  </si>
  <si>
    <t>GUINDASTE HIDRÁULICO AUTOPROPELIDO, COM LANÇA TELESCÓPICA 40 M, CAPACIDADE MÁXIMA 60 T, POTÊNCIA 260 KW - CHP DIURNO.</t>
  </si>
  <si>
    <t>Horas</t>
  </si>
  <si>
    <t>GUINDASTE HIDRÁULICO AUTOPROPELIDO, COM LANÇA TELESCÓPICA 40 M, CAPACIDADE MÁXIMA 60 T, POTÊNCIA 260 KW - CHI DIURNO.</t>
  </si>
  <si>
    <t>Comprimento</t>
  </si>
  <si>
    <t>Qtd Furos</t>
  </si>
  <si>
    <t>Peso (%)</t>
  </si>
  <si>
    <t>kg/m²  =</t>
  </si>
  <si>
    <t>ENTRADA PROVISORIA DE ENERGIA ELETRICA AEREA TRIFASICA 40A EM POSTE MADEIRA.</t>
  </si>
  <si>
    <t>BDI (%)</t>
  </si>
  <si>
    <t>SONDAGEM A PERCUSSAO,EM TERRENO COMUM,COM ENSAIO DE PENETRACAO,DIAMETRO 3",INCLUSIVE DESLOCAMENTO DENTRO DO CANTEIRO E INSTALACAO DA SONDA EM CADA FURO.</t>
  </si>
  <si>
    <t>01.003.0001-0</t>
  </si>
  <si>
    <t>EMOP - RJ</t>
  </si>
  <si>
    <t>01.008.0050-0</t>
  </si>
  <si>
    <t>MOBILIZACAO E DESMOBILIZACAO DE EQUIPAMENTO E EQUIPE DE SONDAGEM E PERFURACAO A PERCUSSAO,COM TRANSPORTE ATE 50KM.</t>
  </si>
  <si>
    <t>RUFO EM CHAPA DE AÇO GALVANIZADO NÚMERO 24, CORTE DE 25 CM, INCLUSO TRANSPORTE VERTICAL.</t>
  </si>
  <si>
    <t>CALHA EM CHAPA DE AÇO GALVANIZADO NÚMERO 24, DESENVOLVIMENTO DE 100 CM, INCLUSO TRANSPORTE VERTICAL.</t>
  </si>
  <si>
    <t>BUCHA DE REDUÇÃO EM COBRE, DN 22 MM X 15 MM, SEM ANEL DE SOLDA, PONTA X BOLSA, INSTALADO EM RAMAL E SUB-RAMAL DE GÁS COMBUSTÍVEL - FORNECIMENTO E INSTALAÇÃO.</t>
  </si>
  <si>
    <t>SIRENE AUDIO VISUAL,PARA SISTEMA DE ALARME CONTRA INCENDIO.FORNECIMENTO E COLOCACAO.</t>
  </si>
  <si>
    <t>18.038.0030-0</t>
  </si>
  <si>
    <t>18.038.0045-0</t>
  </si>
  <si>
    <t>ACIONADOR TIPO "QUEBRE VIDRO",INCLUSIVE SENSOR DE ALARME E CHAVE EXTERNA PARA TESTE.FORNECIMENTO E COLOCACAO.</t>
  </si>
  <si>
    <t>SUBESTACAO SIMPLIFICADA PADRAO ENEL,COM TRANSFORMADOR TRIFASICO DE 112,5KVA,INCLUSIVE MEDICAO,POSTE E TODOS OS MATERIAISELETRICOS NECESSARIOS.</t>
  </si>
  <si>
    <t>15.011.0136-0</t>
  </si>
  <si>
    <t>TOMADA COAXIAL,DE EMBUTIR,COMPLETA,PARA ANTENA DE TV.FORNECIMENTO E COLOCACAO.</t>
  </si>
  <si>
    <t xml:space="preserve">15.019.0110-0 </t>
  </si>
  <si>
    <t>CONECTOR MECANICO PARAFUSO FENDIDO(SPLIT-BOLT),CORPO E PORCAFABRICADO EM COBRE,PARA CABO DE 16MM2.FORNECIMENTO E COLOCACAO.</t>
  </si>
  <si>
    <t>15.017.0325-0</t>
  </si>
  <si>
    <t>TERMINAL MECANICO A COMPRESSAO,FABRICADO EM BRONZE,PARA CABODE 35MM2.FORNECIMENTO E COLOCACAO.</t>
  </si>
  <si>
    <t>15.017.0275-0</t>
  </si>
  <si>
    <t>BARRA CHATA DE ACO CARBONO, P/USOS GERAIS, PADRAO AMERICANO, FABRICACAO USUAL, PRECO DE USINA, DE 5" X 1/2". FORN.</t>
  </si>
  <si>
    <t>55.100.0070-B</t>
  </si>
  <si>
    <t>COIFA DE ACO INOXIDAVEL,DE 1,20X0,60M,DE CHAPA 18.304,INCLUSIVE 1,50M DE DUTO COM 310X120MM DE SECAO,EM CHAPA 22,2 EXAUSTORES CENTRIFUGOS TIPO CARAMUJO,EM CHAPA DE ACO CARBONO 1020COM MOTOR 1/3CV NAS TENSOES 110/220V. FORNECIMENTO E COLOCACAO.</t>
  </si>
  <si>
    <t>18.016.0010-0</t>
  </si>
  <si>
    <t>EXAUSTOR TUBO AXIAL,ACIONAMENTO DIRETO,DIAMETRO DE 400MM,HELICE DE 6 PALETAS,FABRICADA EM CHAPA DE ACO CARBONO.FORNECIMENTO E COLOCACAO.</t>
  </si>
  <si>
    <t>18.034.0015-0</t>
  </si>
  <si>
    <t>DUCHA HIGIÊNICA COM REGISTRO METÁLICO.</t>
  </si>
  <si>
    <t>15.001.0053-0</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</si>
  <si>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</si>
  <si>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PATCH PANEL 24 PORTAS, CATEGORIA 5E - FORNECIMENTO E INSTALAÇÃO. </t>
  </si>
  <si>
    <t xml:space="preserve">CABO COAXIAL RG6 95% - FORNECIMENTO E INSTALAÇÃO. </t>
  </si>
  <si>
    <t>98300</t>
  </si>
  <si>
    <t>CONECTOR MECANICO PARAFUSO FENDIDO(SPLIT-BOLT),CORPO E PORCAFABRICADO EM COBRE,PARA CABO DE 35MM2.FORNECIMENTO E COLOCACAO.</t>
  </si>
  <si>
    <t>15.017.0330-0</t>
  </si>
  <si>
    <t>CONECTOR MECANICO PARAFUSO FENDIDO(SPLIT-BOLT),CORPO E PORCAFABRICADO EM COBRE,PARA CABO DE 50MM2.FORNECIMENTO E COLOCACAO.</t>
  </si>
  <si>
    <t>15.017.0331-0</t>
  </si>
  <si>
    <t>CP-C4533-69841639</t>
  </si>
  <si>
    <t>RODAPÉ EM MADEIRA, ALTURA 7CM, FIXADO COM COLA E PARAFUSOS.</t>
  </si>
  <si>
    <t>CP-S02344-59768942</t>
  </si>
  <si>
    <t>CP-74209/001</t>
  </si>
  <si>
    <t>CP-41598</t>
  </si>
  <si>
    <t>CP-73658</t>
  </si>
  <si>
    <t>CP-74077/003</t>
  </si>
  <si>
    <t>CP-2220064</t>
  </si>
  <si>
    <t>CP-S03410</t>
  </si>
  <si>
    <t>CP-S09552-10218859</t>
  </si>
  <si>
    <t xml:space="preserve">CP-88650 </t>
  </si>
  <si>
    <t>CP-S02181</t>
  </si>
  <si>
    <t>CP-104162.1</t>
  </si>
  <si>
    <t>CP-100323.1</t>
  </si>
  <si>
    <t>CP-85005</t>
  </si>
  <si>
    <t>CP-S08970</t>
  </si>
  <si>
    <t>CP-S11947</t>
  </si>
  <si>
    <t xml:space="preserve">CP-74065/001 </t>
  </si>
  <si>
    <t>CP-88489.4</t>
  </si>
  <si>
    <t>CP-92688</t>
  </si>
  <si>
    <t>CP-97498</t>
  </si>
  <si>
    <t>CP-92705</t>
  </si>
  <si>
    <t>CP-94471</t>
  </si>
  <si>
    <t>CP-90375</t>
  </si>
  <si>
    <t>CP-92694</t>
  </si>
  <si>
    <t>JUNÇÃO SIMPLES, PVC, SERIE NORMAL, ESGOTO PREDIAL, DN 100 X 50 MM, JUNTA ELÁSTICA, FORNECIDO E INSTALADO EM RAMAL DE DESCARGA OU RAMAL DE ESGOTO SANITÁRIO.</t>
  </si>
  <si>
    <t>CP-89797.1</t>
  </si>
  <si>
    <t>TERMINAL DE VENTILAÇÃO, PVC, SÉRIE NORMAL, ESGOTO PREDIAL, DN 75 MM, JUNTA SOLDÁVEL, FORNECIDO E INSTALADO EM PRUMADA DE ESGOTO SANITÁRIO OU VENTILAÇÃO.</t>
  </si>
  <si>
    <t xml:space="preserve">TERMINAL DE VENTILAÇÃO, PVC, SÉRIE NORMAL, ESGOTO PREDIAL, DN 50 MM, JUNTA SOLDÁVEL, FORNECIDO E INSTALADO EM PRUMADA DE ESGOTO SANITÁRIO OU VENTILAÇÃO. </t>
  </si>
  <si>
    <t xml:space="preserve">TE, PVC, SÉRIE NORMAL, ESGOTO PREDIAL, DN 100 X 50 MM, JUNTA ELÁSTICA, FORNECIDO E INSTALADO EM RAMAL DE DESCARGA OU RAMAL DE ESGOTO SANITÁRIO. </t>
  </si>
  <si>
    <t>CAIXA SIFONADA, COM GRELHA REDONDA, PVC, DN 100 X 150 X 50 MM, JUNTA SOLDÁVEL, FORNECIDA E INSTALADA EM RAMAL DE DESCARGA OU EM RAMAL DE ESGOTO SANITÁRIO.</t>
  </si>
  <si>
    <t>CP-104329.1</t>
  </si>
  <si>
    <t>15.002.0210-0</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</si>
  <si>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</si>
  <si>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 xml:space="preserve">CP-98107.1 </t>
  </si>
  <si>
    <t>PROLONGAMENTO PARA CAIXA SIFONADA PVC 100x200mm.</t>
  </si>
  <si>
    <t>CP-053033</t>
  </si>
  <si>
    <t>CP-43.04.020</t>
  </si>
  <si>
    <t>CAP ou TAMPAO GALVANIZADO DIAM. 3/4".</t>
  </si>
  <si>
    <t>CP-052572</t>
  </si>
  <si>
    <t xml:space="preserve"> CP-C1250</t>
  </si>
  <si>
    <t>ENVELOPE DE CONCRETO P/PROTEÇÃO DE TUBO PVC ENTERRADO.</t>
  </si>
  <si>
    <t xml:space="preserve">CP-S12137.1 </t>
  </si>
  <si>
    <t>CP-S12137.2</t>
  </si>
  <si>
    <t>BOMBA RECALQUE D'AGUA DE ESTAGIOS TRIFASICA 2,0 HP.</t>
  </si>
  <si>
    <t>CP-83646</t>
  </si>
  <si>
    <t>DISPOSITIVO DR, 4 POLOS, SENSIBILIDADE DE 30 MA, CORRENTE DE 63 A, TIPO AC.</t>
  </si>
  <si>
    <t>TAMPA CEGA EM PVC.</t>
  </si>
  <si>
    <t>CP-C2298-74528457</t>
  </si>
  <si>
    <t>CP-42.01.090</t>
  </si>
  <si>
    <t>TAMPAO FOFO ARTICULADO, CLASSE B125 CARGA MAX 12,5 T, REDONDO TAMPA 600 MM, REDE PLUVIAL/ESGOTO, P = CHAMINE CX AREIA / POCO VISITA ASSENTADO COM ARG CIM/AREIA 1:4, FORNECIMENTO E ASSENTAMENTO.</t>
  </si>
  <si>
    <t>CP-83627</t>
  </si>
  <si>
    <t>ABRACADEIRA DE FIXACAO,TIPO COPO,ESTAMPADA EM CHAPA DE FERRO ZINCADA,COMPOSTA DE CANOPLA,PARAFUSOS E ABRACADEIRAS PROPRIAMENTE DITA,NO DIAMETRO 1".FORNECIMENTO E COLOCACAO.</t>
  </si>
  <si>
    <t>15.003.0392-0</t>
  </si>
  <si>
    <t>CP-86889</t>
  </si>
  <si>
    <t>CP-S03226.1</t>
  </si>
  <si>
    <t>CP-S03226</t>
  </si>
  <si>
    <t>CP-16.18.074</t>
  </si>
  <si>
    <t>GRADIL EM FERRO, FORMADO POR BARRAS CHATAS DE 25X4,8 MM.</t>
  </si>
  <si>
    <t>CP-99861.1</t>
  </si>
  <si>
    <t>Empolamento</t>
  </si>
  <si>
    <t>Limpeza</t>
  </si>
  <si>
    <t xml:space="preserve">  =</t>
  </si>
  <si>
    <t>Foi considerada uma distância de 10km.</t>
  </si>
  <si>
    <t>REGULARIZAÇÃO E COMPACTAÇÃO DE SUBLEITO DE SOLO PREDOMINANTEMENTE ARGILOSO.</t>
  </si>
  <si>
    <t>100576</t>
  </si>
  <si>
    <t>1.14</t>
  </si>
  <si>
    <t>1.15</t>
  </si>
  <si>
    <t>1.16</t>
  </si>
  <si>
    <t>1.17</t>
  </si>
  <si>
    <t>INSTALAÇÃO E FIXAÇÃO DE ESQUADRIAS COM PREENCHIMENTO TOTAL DE ESPUMA EXPANSIVA.</t>
  </si>
  <si>
    <t>CP-100675.1</t>
  </si>
  <si>
    <t>Própria</t>
  </si>
  <si>
    <t>CHAPA DE ALUMÍNIO CORRUGADA E=0,7MM PARA PROTEÇÃO DE PORTA.</t>
  </si>
  <si>
    <t>CP-102185-33572915</t>
  </si>
  <si>
    <t xml:space="preserve">PORTA DE ABRIR COM MOLA HIDRÁULICA, EM VIDRO TEMPERADO, 2 FOLHAS DE 90X230 CM, ESPESSURA DD 10MM, INCLUSIVE ACESSÓRIOS. </t>
  </si>
  <si>
    <t>INSTALAÇÕES ELÉTRICAS - 127V</t>
  </si>
  <si>
    <t>DISPOSITIVO DR, 4 POLOS, SENSIBILIDADE DE 30 MA, CORRENTE DE 25 A, TIPO AC.</t>
  </si>
  <si>
    <t>CP-S09969.4</t>
  </si>
  <si>
    <t xml:space="preserve">CP-S09969.1 </t>
  </si>
  <si>
    <t xml:space="preserve">DISJUNTOR TRIPOLAR TIPO DIN, CORRENTE NOMINAL DE 10A - FORNECIMENTO E INSTALAÇÃO. </t>
  </si>
  <si>
    <t>DISJUNTOR TRIPOLAR TIPO DIN, CORRENTE NOMINAL DE 20A - FORNECIMENTO E INSTALAÇÃO.</t>
  </si>
  <si>
    <t xml:space="preserve">ELETRODUTO FLEXÍVEL CORRUGADO, PEAD, DN 50 (1 1/2"), PARA REDE ENTERRADA DE DISTRIBUIÇÃO DE ENERGIA ELÉTRICA - FORNECIMENTO E INSTALAÇÃO. </t>
  </si>
  <si>
    <t xml:space="preserve">ELETRODUTO RÍGIDO ROSCÁVEL, PVC, DN 25 MM (3/4"), PARA CIRCUITOS TERMINAIS, INSTALADO EM FORRO - FORNECIMENTO E INSTALAÇÃO. </t>
  </si>
  <si>
    <t>CAIXA ENTERRADA ELÉTRICA RETANGULAR, EM CONCRETO PRÉ-MOLDADO, FUNDO COM BRITA, DIMENSÕES INTERNAS: 0,4X0,4X0,4 M.</t>
  </si>
  <si>
    <t>CURVA 90 GRAUS PARA ELETRODUTO, PVC, ROSCÁVEL, DN 40 MM (1 1/4"), PARA CIRCUITOS TERMINAIS, INSTALADA EM FORRO - FORNECIMENTO E INSTALAÇÃO.</t>
  </si>
  <si>
    <t>PEDRA ARGAMASSADA COM CIMENTO E AREIA 1:3, 40% DE ARGAMASSA EM VOLUME - AREIA E PEDRA DE MÃO COMERCIAIS - FORNECIMENTO E ASSENTAMENTO.</t>
  </si>
  <si>
    <t>DUTO PARA EXAUSTAO DE AR/VENTILACAO,CHAVETADO EM CHAPA DE ACO GALVANIZADO,NAS DIVERSAS BITOLAS,CONFORME ABNT NBR 16401,INCLUSIVE SUPORTES PINTADOS,GRELHAS,DIFUSORES EM ALUMINIO EXTRUDADO E DEMAIS ITENS NECESSARIOS.FORNECIMENTO E COLOCACAO</t>
  </si>
  <si>
    <t>15.005.0280-0</t>
  </si>
  <si>
    <t>Coeficiente extraído da composição 9840 - ORSE</t>
  </si>
  <si>
    <t>kg/m  =</t>
  </si>
  <si>
    <t>ABRACADEIRA DE LATAO PARA FIXACAO DE CABO PARA-RAI (SPDA)</t>
  </si>
  <si>
    <t>CP-39393</t>
  </si>
  <si>
    <t>CAIXA DE PASSAGEM DE EMBUTIR,EM ACO,COM TAMPA PARAFUSADA,DE 20X20CM.FORNECIMENTO E COLOCACAO</t>
  </si>
  <si>
    <t>15.018.0310-0</t>
  </si>
  <si>
    <t>EMOP</t>
  </si>
  <si>
    <t>VASO SANITÁRIO INFANTIL LOUÇA BRANCA - FORNECIMENTO E INSTALACAO.</t>
  </si>
  <si>
    <t>TORNEIRA ELÉTRICA.</t>
  </si>
  <si>
    <t>TE, PVC, SERIE NORMAL, ESGOTO PREDIAL, DN 75 X 75 MM, JUNTA ELÁSTICA, FORNECIDO E INSTALADO EM RAMAL DE DESCARGA OU RAMAL DE ESGOTO SANITÁRIO.</t>
  </si>
  <si>
    <t xml:space="preserve">TE, PVC, SÉRIE NORMAL, ESGOTO PREDIAL, DN 100 X 75 MM, JUNTA ELÁSTICA, FORNECIDO E INSTALADO EM RAMAL DE DESCARGA OU RAMAL DE ESGOTO SANITÁRIO. </t>
  </si>
  <si>
    <t xml:space="preserve">JUNÇÃO DE REDUÇÃO INVERTIDA, PVC, SÉRIE NORMAL, ESGOTO PREDIAL, DN 75 X 50 MM, JUNTA ELÁSTICA, FORNECIDO E INSTALADO EM RAMAL DE DESCARGA OU RAMAL DE ESGOTO SANITÁRIO. </t>
  </si>
  <si>
    <t>CP-89785.1</t>
  </si>
  <si>
    <t>BUCHA DE REDUÇÃO LONGA, PVC, SÉRIE NORMAL, ESGOTO PREDIAL, DN 50 X 40 MM, JUNTA SOLDÁVEL E ELÁSTICA, FORNECIDO E INSTALADO EM RAMAL DE DESCARGA OU RAMAL DE ESGOTO SANITÁRIO.</t>
  </si>
  <si>
    <t>UNIÃO, EM FERRO GALVANIZADO, DN 25 (1"), CONEXÃO ROSQUEADA, INSTALADO EM REDE DE ALIMENTAÇÃO PARA HIDRANTE - FORNECIMENTO E INSTALAÇÃO.</t>
  </si>
  <si>
    <t>CP-92905.1</t>
  </si>
  <si>
    <t>CP-9447.2</t>
  </si>
  <si>
    <t>TÊ, EM FERRO GALVANIZADO, CONEXÃO ROSQUEADA, DN 25 (1"), INSTALADO EM REDE DE ALIMENTAÇÃO PARA HIDRANTE - FORNECIMENTO E INSTALAÇÃO.</t>
  </si>
  <si>
    <t>10.1.5</t>
  </si>
  <si>
    <t>CP-S09076.1</t>
  </si>
  <si>
    <t>1</t>
  </si>
  <si>
    <t>Total parcela</t>
  </si>
  <si>
    <t>ORÇAMENTO GLOBAL SINTÉTICO - NÃO DESONERADO</t>
  </si>
  <si>
    <t>ORÇAMENTO GLOBAL SINTÉTICO - DESONERADO</t>
  </si>
  <si>
    <t>Sapatas do Varal                                     (</t>
  </si>
  <si>
    <t xml:space="preserve"> LIMPEZA DE REVESTIMENTO CERÂMICO EM PAREDE COM PANO ÚMIDO.</t>
  </si>
  <si>
    <t>Será adotado a mesma área do PVC multiplicado por 2, sendo o número de faces dele.</t>
  </si>
  <si>
    <t>26.2</t>
  </si>
  <si>
    <t>ITEM</t>
  </si>
  <si>
    <t>DESCRIÇÃO</t>
  </si>
  <si>
    <t>VALOR (R$)</t>
  </si>
  <si>
    <t>DIA 30</t>
  </si>
  <si>
    <t>DIA 60</t>
  </si>
  <si>
    <t>DIA 90</t>
  </si>
  <si>
    <t>DIA 120</t>
  </si>
  <si>
    <t>DIA 150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</si>
  <si>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</si>
  <si>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ACM</t>
  </si>
  <si>
    <t>ESTRUTURA DE ALUMINIO PARA CLARABOIA EM CHAPA DE POLICARBONATO,EXCLUSIVE ESTA.FORNECIMENTO E COLOCACAO</t>
  </si>
  <si>
    <t>Policarbonato</t>
  </si>
  <si>
    <t>PLACA DE POLICARBONATO EM CRISTAL COMPACTO,COM ESPESSURA DE10MM.FORNECIMENTO E COLOCACAO</t>
  </si>
  <si>
    <t>CAMIONETE TIPO PICK-UP,COM CABINE SIMPLES E CACAMBA,TIPO LEVE,MOTOR BICOMBUSTIVEL (GASOLINA E ALCOOL) DE 1,6 LITROS,EXCLUSIVE MOTORISTA</t>
  </si>
  <si>
    <t>mês</t>
  </si>
  <si>
    <t>Mês</t>
  </si>
  <si>
    <t>RESERVATORIO METALICO PARA AGUA POTAVELESTILO TACA AGUA TOTAL, COM CAPACIDADE PARA 50M3</t>
  </si>
  <si>
    <t>SINAPI - SETEMBRO/2023, EMOP - AGOSTO/2023</t>
  </si>
  <si>
    <t>ISUMO EMOP</t>
  </si>
  <si>
    <t>KIT DE PORTA DE MADEIRA PARA PINTURA, SEMI-OCA (LEVE OU MÉDIA), PADRÃO MÉDIO, 90X210CM, ESPESSURA DE 3,5CM, ITENS INCLUSOS: DOBRADIÇAS, MONTAGEM E INSTALAÇÃO DO BATENTE, FECHADURA COM EXECUÇÃO DO FURO, COM VISOR DE VIDRO TEMPERADO DE 6MM (50X60CM).</t>
  </si>
  <si>
    <t xml:space="preserve">KIT DE PORTA DE MADEIRA PARA PINTURA, SEMI-OCA (LEVE OU MÉDIA), PADRÃO MÉDIO, 90X210CM, ESPESSURA DE 3,5CM, ITENS INCLUSOS: DOBRADIÇAS, MONTAGEM E INSTALAÇÃO DO BATENTE, FECHADURA COM EXECUÇÃO DO FURO - FORNECIMENTO E INSTALAÇÃO. </t>
  </si>
  <si>
    <t>10.1.6</t>
  </si>
  <si>
    <t>Sanit. PCD Fem e Masc.</t>
  </si>
  <si>
    <t>PORTA DE CORRER DE ALUMÍNIO, COM DUAS FOLHAS PARA VIDRO, INCLUSO VIDRO LISO INCOLOR, FECHADURA E PUXADOR, SEM ALIZAR.</t>
  </si>
  <si>
    <t>PA3</t>
  </si>
  <si>
    <t>GR1 - Muro Externo, Área de Serviço e Reservatório</t>
  </si>
  <si>
    <t>GR2 - Central de Gás</t>
  </si>
  <si>
    <t>10.5.5</t>
  </si>
  <si>
    <t>Gradil</t>
  </si>
  <si>
    <t>m² x</t>
  </si>
  <si>
    <t xml:space="preserve">PINTURA LÁTEX ACRÍLICA PREMIUM, APLICAÇÃO MANUAL EM PAREDES, DUAS DEMÃOS. </t>
  </si>
  <si>
    <t>PREPARO DE SUPERFÍCIE COM LIXAMENTO DE PAREDES E TETOS.</t>
  </si>
  <si>
    <t>JA1</t>
  </si>
  <si>
    <t>JA2</t>
  </si>
  <si>
    <t>JA3.1</t>
  </si>
  <si>
    <t>JA3.2</t>
  </si>
  <si>
    <t>JANELA DE ALUMÍNIO DE CORRER COM 2 FOLHAS PARA VIDROS, COM VIDROS, BATENTE, ACABAMENTO COM ACETATO OU BRILHANTE E FERRAGENS. EXCLUSIVE ALIZAR E CONTRAMARCO. FORNECIMENTO E INSTALAÇÃO.</t>
  </si>
  <si>
    <t>JA4</t>
  </si>
  <si>
    <t>JA5</t>
  </si>
  <si>
    <t>JA6</t>
  </si>
  <si>
    <t>JA7</t>
  </si>
  <si>
    <t>JA8</t>
  </si>
  <si>
    <t>JA9</t>
  </si>
  <si>
    <t>JA7 - Despensa</t>
  </si>
  <si>
    <t>10.4.4</t>
  </si>
  <si>
    <t xml:space="preserve">PINTURA DE SINALIZAÇÃO VERTICAL DE SEGURANÇA, FAIXAS AMARELA E PRETA, APLICAÇÃO MANUAL, 2 DEMÃOS. </t>
  </si>
  <si>
    <t>Vaga de Carro PNE</t>
  </si>
  <si>
    <t xml:space="preserve">Foi considerada a área do terreno. </t>
  </si>
  <si>
    <t>Sanit. Infantil 03</t>
  </si>
  <si>
    <t>Sanit. Infantil 02 e 04</t>
  </si>
  <si>
    <t xml:space="preserve">PEITORIL LINEAR EM GRANITO OU MÁRMORE, L = 15CM, COMPRIMENTO DE ATÉ 2M, ASSENTADO COM ARGAMASSA 1:6 COM ADITIVO. </t>
  </si>
  <si>
    <t>Sanit. Infantil 02 ao 04</t>
  </si>
  <si>
    <t xml:space="preserve">(COMPOSIÇÃO REPRESENTATIVA) DO SERVIÇO DE CONTRAPISO EM ARGAMASSA TRAÇO 1:4 (CIM E AREIA), BETONEIRA 400 L, E = 4 CM ÁREAS SECAS E MOLHADAS SOBRE LAJE , E = 3 CM ÁREAS MOLHADAS SOBRE IMPERMEABILIZAÇÃO, CASA E EDIFICAÇÃO PÚBLICA PADRÃO. </t>
  </si>
  <si>
    <t xml:space="preserve">REVESTIMENTO CERÂMICO PARA PAREDES INTERNAS COM PLACAS TIPO ESMALTADA EXTRA DE DIMENSÕES 60X60 CM APLICADAS NA ALTURA INTEIRA DAS PAREDES. </t>
  </si>
  <si>
    <t>Pré-Escola - 5</t>
  </si>
  <si>
    <t>Pré-Escola - 6</t>
  </si>
  <si>
    <t>Sanit. Infantil 01</t>
  </si>
  <si>
    <t>Sanit. Infantil 02</t>
  </si>
  <si>
    <t>Sanit. Infantil 04</t>
  </si>
  <si>
    <t>Coordenação</t>
  </si>
  <si>
    <t>Arquivo</t>
  </si>
  <si>
    <t>Sala Prof./ Reunião</t>
  </si>
  <si>
    <t>REVESTIMENTO CERÂMICO PARA PISO COM PLACAS TIPO PORCELANATO DE DIMENSÕES 60X60 CM APLICADA EM AMBIENTES DE ÁREA MAIOR QUE 10 M².</t>
  </si>
  <si>
    <t>Hall de Entrada</t>
  </si>
  <si>
    <t>Sanit. Infantil 2, 3 e 4</t>
  </si>
  <si>
    <t>Piso Próximo a Horta</t>
  </si>
  <si>
    <t>Acesso Secundário</t>
  </si>
  <si>
    <t>EXECUÇÃO DE PAVIMENTO EM PISO INTERTRAVADO, COM BLOCO RETANGULAR COR NATURAL DE 20 X 10 CM, ESPESSURA 6 CM.</t>
  </si>
  <si>
    <t>9.2.10</t>
  </si>
  <si>
    <t>Fachadas</t>
  </si>
  <si>
    <t>Bancadas</t>
  </si>
  <si>
    <t>BA1</t>
  </si>
  <si>
    <t>BA2</t>
  </si>
  <si>
    <t>BA3</t>
  </si>
  <si>
    <t>BA4</t>
  </si>
  <si>
    <t>BA6</t>
  </si>
  <si>
    <t>BA7</t>
  </si>
  <si>
    <t>BA8</t>
  </si>
  <si>
    <t>BA9</t>
  </si>
  <si>
    <t>BA10</t>
  </si>
  <si>
    <t>BA11</t>
  </si>
  <si>
    <t>BA12</t>
  </si>
  <si>
    <t>BA13</t>
  </si>
  <si>
    <t>BA14</t>
  </si>
  <si>
    <t>BA15</t>
  </si>
  <si>
    <t>BA16</t>
  </si>
  <si>
    <t>BA17</t>
  </si>
  <si>
    <t>BA18</t>
  </si>
  <si>
    <t>BA19</t>
  </si>
  <si>
    <t>BA20</t>
  </si>
  <si>
    <t>BA21</t>
  </si>
  <si>
    <t>Prateleiras</t>
  </si>
  <si>
    <t>BN1 - Hall de Entrada</t>
  </si>
  <si>
    <t>BN2 - Hall de Entrada</t>
  </si>
  <si>
    <t>Bancos</t>
  </si>
  <si>
    <t>BN3</t>
  </si>
  <si>
    <t>BN4</t>
  </si>
  <si>
    <t>PT1</t>
  </si>
  <si>
    <t>PT2</t>
  </si>
  <si>
    <t>PT3</t>
  </si>
  <si>
    <t>PT4</t>
  </si>
  <si>
    <t>PT5</t>
  </si>
  <si>
    <t>PT6</t>
  </si>
  <si>
    <t>PT7</t>
  </si>
  <si>
    <t>PT8</t>
  </si>
  <si>
    <t>PT9</t>
  </si>
  <si>
    <t>PT10</t>
  </si>
  <si>
    <t>23.6</t>
  </si>
  <si>
    <t>CABIDE/GANCHO DE BANHEIRO SIMPLES EM METAL CROMADO -FORNECIMENTO E INSTALAÇÃO.</t>
  </si>
  <si>
    <t>CP-18.006.0054</t>
  </si>
  <si>
    <t>Vest. Func. Fem e Masc</t>
  </si>
  <si>
    <t>Sanit. Infantil 02 a 04</t>
  </si>
  <si>
    <t xml:space="preserve">Hora  = </t>
  </si>
  <si>
    <t>Sanit. Infantil 01 a 04</t>
  </si>
  <si>
    <t>Vest. Func. Fem e Masc.</t>
  </si>
  <si>
    <t>LAVATÓRIO LOUÇA BRANCA COM COLUNA, 45 X 55CM OU EQUIVALENTE, PADRÃO MÉDIO - FORNECIMENTO E INSTALAÇÃO.</t>
  </si>
  <si>
    <t>Solario - 1</t>
  </si>
  <si>
    <t xml:space="preserve">Solário - 2 </t>
  </si>
  <si>
    <t>Sanit. Infantil 2 ao 4</t>
  </si>
  <si>
    <t xml:space="preserve">GUARDA-CORPO DE AÇO GALVANIZADO DE 1,10M, MONTANTES TUBULARES DE 1.1/4 ESPAÇADOS DE 1,20M, TRAVESSA SUPERIOR DE 1.1/2, GRADIL FORMADO POR TUBOS HORIZONTAIS DE 1 E VERTICAIS DE 3/4, FIXADO COM CHUMBADOR MECÂNICO. </t>
  </si>
  <si>
    <t>Acesso á Edificação</t>
  </si>
  <si>
    <t>Sala Multifuncional</t>
  </si>
  <si>
    <t>Cor Amarela</t>
  </si>
  <si>
    <t>Cor Azul</t>
  </si>
  <si>
    <t>Cor Cinza</t>
  </si>
  <si>
    <t>Cor Laranja</t>
  </si>
  <si>
    <t>Cor Verde</t>
  </si>
  <si>
    <t>Cor Vermelha</t>
  </si>
  <si>
    <t>Solários - 1, 2, 3</t>
  </si>
  <si>
    <t>Setor Administrativo</t>
  </si>
  <si>
    <t>Acesso á Edificação 1.1</t>
  </si>
  <si>
    <t>Acesso á Edificação 1.2</t>
  </si>
  <si>
    <t>Edificação</t>
  </si>
  <si>
    <t>Marquise</t>
  </si>
  <si>
    <t>BL01</t>
  </si>
  <si>
    <t>BL02</t>
  </si>
  <si>
    <t>Gás</t>
  </si>
  <si>
    <t>PREFEITURA MUNICIPAL DE CABO FRIO</t>
  </si>
  <si>
    <t xml:space="preserve">_______________________________________________________________
RICARDO TANNER MUNIZ
CREA RJ: 1998106253
</t>
  </si>
  <si>
    <t>Intertravados</t>
  </si>
  <si>
    <t>CP-S08030</t>
  </si>
  <si>
    <t xml:space="preserve">PORTÕES E GRADIS METÁLICOS </t>
  </si>
  <si>
    <t>COMP-89436307</t>
  </si>
  <si>
    <t>MURO E MURETA INTERNA</t>
  </si>
  <si>
    <t>19.004.0400-0</t>
  </si>
  <si>
    <t>_______________________________________________________________
RICARDO TANNER MUNIZ
CREA RJ: 1998106253</t>
  </si>
  <si>
    <t>Casa de Gás e Lixo</t>
  </si>
  <si>
    <t>2.1</t>
  </si>
  <si>
    <t>2.2</t>
  </si>
  <si>
    <t>2.3</t>
  </si>
  <si>
    <t>2.4</t>
  </si>
  <si>
    <t>Casa de Gás e Lixo (Radier e Laje Superior)</t>
  </si>
  <si>
    <t>Coef</t>
  </si>
  <si>
    <t>Peso da estutura</t>
  </si>
  <si>
    <t>kg  x</t>
  </si>
  <si>
    <t>m²/kg =</t>
  </si>
  <si>
    <t>Concreto Magro</t>
  </si>
  <si>
    <t>Espessura</t>
  </si>
  <si>
    <t>Foi considerado um acréscimo de 5cm de profundidade para o concreto magro e 0,30 nas laterais para manuseio das formas das vigas baldrames.</t>
  </si>
  <si>
    <t xml:space="preserve">ARMAÇÃO DE BLOCO, VIGA BALDRAME OU SAPATA UTILIZANDO AÇO CA-50 DE 10 MM - MONTAGEM. </t>
  </si>
  <si>
    <t xml:space="preserve">ARMAÇÃO DE PILAR OU VIGA DE ESTRUTURA CONVENCIONAL DE CONCRETO ARMADO UTILIZANDO AÇO CA-50 DE 10,0 MM - MONTAGEM. </t>
  </si>
  <si>
    <t xml:space="preserve">TÊ DE REDUÇÃO, PVC, SOLDÁVEL, DN 50MM X 40MM, INSTALADO EM RAMAL DE DISTRIBUIÇÃO DE ÁGUA - FORNECIMENTO E INSTALAÇÃO. </t>
  </si>
  <si>
    <t xml:space="preserve">TE, PVC, SOLDÁVEL, DN 32MM, INSTALADO EM PRUMADA DE ÁGUA - FORNECIMENTO E INSTALAÇÃO. </t>
  </si>
  <si>
    <t xml:space="preserve">TE, PVC, SOLDÁVEL, DN 40MM, INSTALADO EM PRUMADA DE ÁGUA - FORNECIMENTO E INSTALAÇÃO. </t>
  </si>
  <si>
    <t>TÊ COM BUCHA DE LATÃO NA BOLSA CENTRAL, PVC, SOLDÁVEL, DN 32MM X 3/4 , INSTALADO EM RAMAL OU SUB-RAMAL DE ÁGUA - FORNECIMENTO E INSTALAÇÃO.</t>
  </si>
  <si>
    <t>BUCHA DE REDUÇÃO, LONGA, PVC, SOLDÁVEL, DN 75 X 50 MM, INSTALADO EM PRUMADA DE ÁGUA - FORNECIMENTO E INSTALAÇÃO.</t>
  </si>
  <si>
    <t xml:space="preserve">	ADAPTADOR CURTO COM BOLSA E ROSCA PARA REGISTRO, PVC, SOLDÁVEL, DN 40 MM X 1 1/4 , INSTALADO EM RESERVAÇÃO DE ÁGUA DE EDIFICAÇÃO QUE POSSUA RESERVATÓRIO DE FIBRA/FIBROCIMENTO FORNECIMENTO E INSTALAÇÃO. </t>
  </si>
  <si>
    <t>JOELHO 90 GRAUS, PVC, SOLDÁVEL, DN 32MM, INSTALADO EM RAMAL OU SUB-RAMAL DE ÁGUA - FORNECIMENTO E INSTALAÇÃO</t>
  </si>
  <si>
    <t>JOELHO 90 GRAUS, PVC, SOLDÁVEL, DN 40MM, INSTALADO EM RAMAL DE DISTRIBUIÇÃO DE ÁGUA - FORNECIMENTO E INSTALAÇÃO.</t>
  </si>
  <si>
    <t xml:space="preserve">REGISTRO DE GAVETA BRUTO, LATÃO, ROSCÁVEL, 1 1/4", COM ACABAMENTO E CANOPLA CROMADOS - FORNECIMENTO E INSTALAÇÃO. </t>
  </si>
  <si>
    <t>REGISTRO DE GAVETA BRUTO, LATÃO, ROSCÁVEL, 2 1/2" - FORNECIMENTO E INSTALAÇÃO.</t>
  </si>
  <si>
    <t>REGISTRO DE PRESSÃO BRUTO, LATÃO, ROSCÁVEL, 3/4", COM ACABAMENTO E CANOPLA CROMADOS - FORNECIMENTO E INSTALAÇÃO.</t>
  </si>
  <si>
    <t>TE, PVC, SERIE NORMAL, ESGOTO PREDIAL, DN 100 X 100 MM, JUNTA ELÁSTICA, FORNECIDO E INSTALADO EM SUBCOLETOR AÉREO DE ESGOTO SANITÁRIO.</t>
  </si>
  <si>
    <t>TUBO DE PVC PARA REDE COLETORA DE ESGOTO DE PAREDE MACIÇA, DN 200 MM, JUNTA ELÁSTICA - FORNECIMENTO E ASSENTAMENTO.</t>
  </si>
  <si>
    <t>CP-S09752.1</t>
  </si>
  <si>
    <t>RALO HEMISFÉRICO (FORMATO ABACAXI) DE FERRO FUNDIDO, Ø100MM.</t>
  </si>
  <si>
    <t>CALHA EM CHAPA DE AÇO GALVANIZADO NÚMERO 24, DESENVOLVIMENTO DE 50 CM, INCLUSO TRANSPORTE VERTICAL.</t>
  </si>
  <si>
    <t>Sapatas Marquise Entrada</t>
  </si>
  <si>
    <t>Sapatas Marquise</t>
  </si>
  <si>
    <t>DISPOSITIVO DE PROTEÇÃO CONTRA SURTOS DE TENSÃO - DPS's CLASSE II - *45* KA/460V</t>
  </si>
  <si>
    <t>CP-C4562.1</t>
  </si>
  <si>
    <t>DISPOSITIVO DR, 4 POLOS, SENSIBILIDADE DE 30 MA, CORRENTE DE 40 A, TIPO AC.</t>
  </si>
  <si>
    <t>CP-S09969.2</t>
  </si>
  <si>
    <t xml:space="preserve">DISJUNTOR MONOPOLAR TIPO DIN, CORRENTE NOMINAL DE 40A - FORNECIMENTO E INSTALAÇÃO.  </t>
  </si>
  <si>
    <t>DISJUNTOR TRIPOLAR TIPO DIN, CORRENTE NOMINAL DE 32A - FORNECIMENTO E INSTALAÇÃO.</t>
  </si>
  <si>
    <t>DISJUNTOR TRIPOLAR TIPO DIN, CORRENTE NOMINAL DE 40A - FORNECIMENTO E INSTALAÇÃO.</t>
  </si>
  <si>
    <t>DISJUNTOR TERMOMAGNÉTICO TRIPOLAR , CORRENTE NOMINAL DE 400A - FORNECIMENTO E INSTALAÇÃO.</t>
  </si>
  <si>
    <t>DISJUNTOR TRIPOLAR TIPO DIN, CORRENTE NOMINAL DE 63A - FORNECIMENTO E INSTALAÇÃO.</t>
  </si>
  <si>
    <t>CP-93673.1</t>
  </si>
  <si>
    <t>ELETROCALHA LISA,COM TAMPA,TIPO "U",100X50MM,TRATAMENTO SUPERFICIAL PRE-ZINCADO A QUENTE,INCLUSIVE CONEXOES,ACESSORIOS EFIXACAO SUPERIOR.FORNECIMENTO E COLOCACAO</t>
  </si>
  <si>
    <t>15.018.0550-0</t>
  </si>
  <si>
    <t xml:space="preserve">	QUADRO DE DISTRIBUIÇÃO DE ENERGIA EM PVC, DE EMBUTIR, SEM BARRAMENTO, PARA 6 DISJUNTORES - FORNECIMENTO E INSTALAÇÃO</t>
  </si>
  <si>
    <t>QUADRO DE DISTRIBUIÇÃO DE ENERGIA EM CHAPA DE AÇO GALVANIZADO, DE EMBUTIR, COM BARRAMENTO TRIFÁSICO, PARA 12 DISJUNTORES DIN 100A - FORNECIMENTO E INSTALAÇÃO.</t>
  </si>
  <si>
    <t>QUADRO DE DISTRIBUIÇÃO DE ENERGIA EM CHAPA DE AÇO GALVANIZADO, DE EMBUTIR, COM BARRAMENTO TRIFÁSICO, PARA 30 DISJUNTORES DIN 225A - FORNECIMENTO E INSTALAÇÃO.</t>
  </si>
  <si>
    <t>CABO DE COBRE FLEXÍVEL ISOLADO, 50 MM², ANTI-CHAMA 0,6/1,0 KV, PARA REDE ENTERRADA DE DISTRIBUIÇÃO DE ENERGIA ELÉTRICA - FORNECIMENTO E INSTALAÇÃO.</t>
  </si>
  <si>
    <t>CABO DE COBRE FLEXÍVEL ISOLADO, 10 MM², ANTI-CHAMA 450/750 V, PARA CIRCUITOS TERMINAIS - FORNECIMENTO E INSTALAÇÃO.</t>
  </si>
  <si>
    <t>CABO DE COBRE FLEXÍVEL ISOLADO, 120 MM², ANTI-CHAMA 0,6/1,0 KV, PARA REDE ENTERRADA DE DISTRIBUIÇÃO DE ENERGIA ELÉTRICA - FORNECIMENTO E INSTALAÇÃO.</t>
  </si>
  <si>
    <t>CABO DE COBRE FLEXÍVEL ISOLADO, 240 MM², ANTI-CHAMA 0,6/1,0 KV, PARA REDE ENTERRADA DE DISTRIBUIÇÃO DE ENERGIA ELÉTRICA - FORNECIMENTO E INSTALAÇÃO.</t>
  </si>
  <si>
    <t xml:space="preserve">ELETRODUTO RÍGIDO ROSCÁVEL, PVC, DN 50 MM (1 1/2"), PARA REDE ENTERRADA DE DISTRIBUIÇÃO DE ENERGIA ELÉTRICA - FORNECIMENTO E INSTALAÇÃO. </t>
  </si>
  <si>
    <t>ELETROCALHA LISA,COM TAMPA,TIPO "U",100X100MM,TRATAMENTO SUPERFICIAL PRE-ZINCADO A QUENTE,INCLUSIVE CONEXOES,ACESSORIOSE FIXACAO SUPERIOR.FORNECIMENTO E COLOCACAO</t>
  </si>
  <si>
    <t>15.018.0562-0</t>
  </si>
  <si>
    <t>Placas S3 (Saída de Emergência)</t>
  </si>
  <si>
    <t>Cuidado, risco de explosão</t>
  </si>
  <si>
    <t>Proibido produzir chama</t>
  </si>
  <si>
    <t>Bloco Principal</t>
  </si>
  <si>
    <t>Bloco Principal (Inferior e Superior)</t>
  </si>
  <si>
    <t>Foi considerada a área dos radiers, igual ao item 2.1 de compactação .</t>
  </si>
  <si>
    <t>3.1.7</t>
  </si>
  <si>
    <t>3.1.8</t>
  </si>
  <si>
    <t>3.1.9</t>
  </si>
  <si>
    <t>Sapatas Marquise                                   (</t>
  </si>
  <si>
    <t>Será considerado igual a área de Compactação, item 2.1.</t>
  </si>
  <si>
    <t xml:space="preserve">TANQUE SÉPTICO RETANGULAR, EM ALVENARIA COM TIJOLOS CERÂMICOS MACIÇOS, DIMENSÕES INTERNAS: 1,6 X 4,6 X H=2,4 M, VOLUME ÚTIL: 14720 L (PARA 105 CONTRIBUINTES). </t>
  </si>
  <si>
    <t>Mureta Frontal e Reservatório</t>
  </si>
  <si>
    <t>PROJ-001</t>
  </si>
  <si>
    <t>PROJETO EXECUTIVO ARQUITETÔNICO E DE ENGENHARIAS.</t>
  </si>
  <si>
    <t>12.52</t>
  </si>
  <si>
    <t>12.53</t>
  </si>
  <si>
    <t>12.54</t>
  </si>
  <si>
    <t>12.55</t>
  </si>
  <si>
    <t>12.56</t>
  </si>
  <si>
    <t>12.57</t>
  </si>
  <si>
    <t>12.58</t>
  </si>
  <si>
    <t>12.59</t>
  </si>
  <si>
    <t>12.60</t>
  </si>
  <si>
    <t>8.9</t>
  </si>
  <si>
    <t xml:space="preserve"> 13.168.0010-0</t>
  </si>
  <si>
    <t>16.012.0005-0</t>
  </si>
  <si>
    <t>14.005.0025-0</t>
  </si>
  <si>
    <t>14.1</t>
  </si>
  <si>
    <t>14.2</t>
  </si>
  <si>
    <t>14.3</t>
  </si>
  <si>
    <t>14.4</t>
  </si>
  <si>
    <t>14.5</t>
  </si>
  <si>
    <t>14.6</t>
  </si>
  <si>
    <t>14.7</t>
  </si>
  <si>
    <t>14.9</t>
  </si>
  <si>
    <t>14.10</t>
  </si>
  <si>
    <t>14.11</t>
  </si>
  <si>
    <t>14.12</t>
  </si>
  <si>
    <t>14.13</t>
  </si>
  <si>
    <t>14.14</t>
  </si>
  <si>
    <t>14.15</t>
  </si>
  <si>
    <t>14.16</t>
  </si>
  <si>
    <t>14.17</t>
  </si>
  <si>
    <t>19.5.6</t>
  </si>
  <si>
    <t>22.1</t>
  </si>
  <si>
    <t>14.8</t>
  </si>
  <si>
    <t>17.17</t>
  </si>
  <si>
    <t>PLACA DE SINALIZACAO DE SEGURANCA CONTRA INCENDIO, FOTOLUMINESCENTE, RETANGULAR, *13 X 26* CM, EM PVC *2* MM ANTI-CHAMAS (SIMBOLOS, CORES E PICTOGRAMAS CONFORME NBR 13434).</t>
  </si>
  <si>
    <t>PLACA DE SINALIZACAO DE SEGURANCA CONTRA INCENDIO, FOTOLUMINESCENTE, QUADRADA, *20 X 20* CM, EM PVC *2* MM ANTI-CHAMAS (SIMBOLOS, CORES E PICTOGRAMAS CONFORME NBR 13434)</t>
  </si>
  <si>
    <t>18.1.5</t>
  </si>
  <si>
    <t>18.4.8</t>
  </si>
  <si>
    <t>18.4.9</t>
  </si>
  <si>
    <t>18.4.10</t>
  </si>
  <si>
    <t>18.4.11</t>
  </si>
  <si>
    <t xml:space="preserve">INTERRUPTOR SIMPLES (2 MÓDULOS) COM 1 TOMADA DE EMBUTIR 2P+T 10 A, INCLUINDO SUPORTE E PLACA - FORNECIMENTO E INSTALAÇÃO. </t>
  </si>
  <si>
    <t xml:space="preserve">LUMINÁRIA ARANDELA TIPO TARTARUGA, DE SOBREPOR, COM 1 LÂMPADA LED DE 6 W, SEM REATOR - FORNECIMENTO E INSTALAÇÃO. </t>
  </si>
  <si>
    <t>BALIZADOR DE EMBUTIR EM ALUMINIO PINTADO,PARA UMA LAMPADA LED DE 4,5W,INCLUSIVE ESTA.FORNECIMENTO E COLOCACAO</t>
  </si>
  <si>
    <t>18.027.0080-0</t>
  </si>
  <si>
    <t>LUMINARIA DE SOBREPOR, FIXADA EM LAJE OU FORRO, TIPO CALHA,CHANFRADA OU PRISMATICA, COMPLETA, COM LAMPADA LED TUBULARDE 2 X 18W. FORNECIMENTO E COLOCACAO</t>
  </si>
  <si>
    <t>18.027.0476-0</t>
  </si>
  <si>
    <t>LUMINÁRIA TIPO PLAFON CIRCULAR, DE SOBREPOR, COM LED DE 12/13 W - FORNECIMENTO E INSTALAÇÃO.</t>
  </si>
  <si>
    <t>LUMINARIA LED REFLETOR RETANGULAR BIVOLT, LUZ BRANCA, 50 W - FORNECIMENTO E INSTALAÇÃO.</t>
  </si>
  <si>
    <t>CP-101666.1</t>
  </si>
  <si>
    <t>Propria</t>
  </si>
  <si>
    <t>18.5.11</t>
  </si>
  <si>
    <t>18.5.12</t>
  </si>
  <si>
    <t>18.5.13</t>
  </si>
  <si>
    <t>18.5.14</t>
  </si>
  <si>
    <t>18.5.15</t>
  </si>
  <si>
    <t>CONSTRUÇÃO DA CRECHE ESCOLA TAMOIOS</t>
  </si>
  <si>
    <t>AV. INDEPENDÊNCIA, S/N, CONDOMÍNIO VERÃO VERMELHO, TAMOIOS</t>
  </si>
  <si>
    <t>13.5</t>
  </si>
  <si>
    <t xml:space="preserve">Seguindo a composição 100773 do SINAPI, é utilizado um coeficiente de 0,2219 m²/kg para a pintura de cada kg da estrutura. </t>
  </si>
  <si>
    <t>PRÓPRIA</t>
  </si>
  <si>
    <t>PLACA DE OBRA EM CHAPA DE ACO GALVANIZADO</t>
  </si>
  <si>
    <t>M2</t>
  </si>
  <si>
    <t>98459</t>
  </si>
  <si>
    <t>SINAPI</t>
  </si>
  <si>
    <t>TAPUME COM TELHA METÁLICA. AF_05/2018</t>
  </si>
  <si>
    <t>ENTRADA PROVISORIA DE ENERGIA ELETRICA AEREA TRIFASICA 40A EM POSTE MADEIRA</t>
  </si>
  <si>
    <t>UN</t>
  </si>
  <si>
    <t>93214</t>
  </si>
  <si>
    <t>EXECUÇÃO DE RESERVATÓRIO ELEVADO DE ÁGUA (1000 LITROS) EM CANTEIRO DE OBRA, APOIADO EM ESTRUTURA DE MADEIRA. AF_02/2016_PA</t>
  </si>
  <si>
    <t>LIGAÇÃO DOMICILIAR DE ESGOTO DN 100MM, DA CASA ATÉ A CAIXA, COMPOSTO POR 10,0M TUBO DE PVC ESGOTO PREDIAL DN 100MM E CAIXA DE ALVENARIA COM TAMPA DE CONCRETO - FORNECIMENTO E INSTALAÇÃO</t>
  </si>
  <si>
    <t>93212</t>
  </si>
  <si>
    <t>EXECUÇÃO DE SANITÁRIO E VESTIÁRIO EM CANTEIRO DE OBRA EM CHAPA DE MADEIRA COMPENSADA, NÃO INCLUSO MOBILIÁRIO. AF_02/2016</t>
  </si>
  <si>
    <t>93207</t>
  </si>
  <si>
    <t>EXECUÇÃO DE ESCRITÓRIO EM CANTEIRO DE OBRA EM CHAPA DE MADEIRA COMPENSADA, NÃO INCLUSO MOBILIÁRIO E EQUIPAMENTOS. AF_02/2016</t>
  </si>
  <si>
    <t>93584</t>
  </si>
  <si>
    <t>EXECUÇÃO DE DEPÓSITO EM CANTEIRO DE OBRA EM CHAPA DE MADEIRA COMPENSADA, NÃO INCLUSO MOBILIÁRIO. AF_04/2016</t>
  </si>
  <si>
    <t>93210</t>
  </si>
  <si>
    <t>EXECUÇÃO DE REFEITÓRIO EM CANTEIRO DE OBRA EM CHAPA DE MADEIRA COMPENSADA, NÃO INCLUSO MOBILIÁRIO E EQUIPAMENTOS. AF_02/2016</t>
  </si>
  <si>
    <t>SONDAGEM A PERCUSSAO,EM TERRENO COMUM,COM ENSAIO DE PENETRACAO,DIAMETRO 3",INCLUSIVE DESLOCAMENTO DENTRO DO CANTEIRO E INSTALACAO DA SONDA EM CADA FURO</t>
  </si>
  <si>
    <t>M</t>
  </si>
  <si>
    <t>MOBILIZACAO E DESMOBILIZACAO DE EQUIPAMENTO E EQUIPE DE SONDAGEM E PERFURACAO A PERCUSSAO,COM TRANSPORTE ATE 50KM</t>
  </si>
  <si>
    <t>98525</t>
  </si>
  <si>
    <t>LIMPEZA MECANIZADA DE CAMADA VEGETAL, VEGETAÇÃO E PEQUENAS ÁRVORES (DIÂMETRO DE TRONCO MENOR QUE 0,20 M), COM TRATOR DE ESTEIRAS.AF_05/2018</t>
  </si>
  <si>
    <t>100974</t>
  </si>
  <si>
    <t>CARGA, MANOBRA E DESCARGA DE SOLOS E MATERIAIS GRANULARES EM CAMINHÃO BASCULANTE 10 M³ - CARGA COM PÁ CARREGADEIRA (CAÇAMBA DE 1,7 A 2,8 M³ / 128 HP) E DESCARGA LIVRE (UNIDADE: M3). AF_07/2020</t>
  </si>
  <si>
    <t>M3</t>
  </si>
  <si>
    <t>93589</t>
  </si>
  <si>
    <t>TRANSPORTE COM CAMINHÃO BASCULANTE DE 10 M³, EM VIA URBANA EM REVESTIMENTO PRIMÁRIO (UNIDADE: M3XKM). AF_07/2020</t>
  </si>
  <si>
    <t>M3XKM</t>
  </si>
  <si>
    <t>REGULARIZAÇÃO E COMPACTAÇÃO DE SUBLEITO DE SOLO  PREDOMINANTEMENTE ARGILOSO. AF_11/2019</t>
  </si>
  <si>
    <t>2</t>
  </si>
  <si>
    <t>97084</t>
  </si>
  <si>
    <t>COMPACTAÇÃO MECÂNICA DE SOLO PARA EXECUÇÃO DE RADIER, PISO DE CONCRETO OU LAJE SOBRE SOLO, COM COMPACTADOR DE SOLOS TIPO PLACA VIBRATÓRIA. AF_09/2021</t>
  </si>
  <si>
    <t>102307</t>
  </si>
  <si>
    <t>ESCAVAÇÃO MECANIZADA DE VALA COM PROF. ATÉ 1,5 M (MÉDIA MONTANTE E JUSANTE/UMA COMPOSIÇÃO POR TRECHO), ESCAVADEIRA (0,8 M3), LARG. DE 1,5 M A 2,5 M, EM SOLO DE 2A CATEGORIA, EM LOCAIS COM ALTO NÍVEL DE INTERFERÊNCIA. AF_02/2021</t>
  </si>
  <si>
    <t>101616</t>
  </si>
  <si>
    <t>PREPARO DE FUNDO DE VALA COM LARGURA MENOR QUE 1,5 M (ACERTO DO SOLO NATURAL). AF_08/2020</t>
  </si>
  <si>
    <t>93382</t>
  </si>
  <si>
    <t>REATERRO MANUAL DE VALAS, COM COMPACTADOR DE SOLOS DE PERCUSSÃO. AF_08/2023</t>
  </si>
  <si>
    <t>3</t>
  </si>
  <si>
    <t>FUNDAÇÕES</t>
  </si>
  <si>
    <t>97086</t>
  </si>
  <si>
    <t>FABRICAÇÃO, MONTAGEM E DESMONTAGEM DE FORMA PARA RADIER, PISO DE CONCRETO OU LAJE SOBRE SOLO, EM MADEIRA SERRADA, 4 UTILIZAÇÕES. AF_09/2021</t>
  </si>
  <si>
    <t>97096</t>
  </si>
  <si>
    <t>CONCRETAGEM DE RADIER, PISO DE CONCRETO OU LAJE SOBRE SOLO, FCK 30 MPA - LANÇAMENTO, ADENSAMENTO E ACABAMENTO. AF_09/2021</t>
  </si>
  <si>
    <t>96624</t>
  </si>
  <si>
    <t>LASTRO COM MATERIAL GRANULAR (PEDRA BRITADA N.2), APLICADO EM PISOS OU LAJES SOBRE SOLO, ESPESSURA DE *10 CM*. AF_08/2017</t>
  </si>
  <si>
    <t>95241</t>
  </si>
  <si>
    <t>LASTRO DE CONCRETO MAGRO, APLICADO EM PISOS, LAJES SOBRE SOLO OU RADIERS, ESPESSURA DE 5 CM. AF_07/2016</t>
  </si>
  <si>
    <t>100896</t>
  </si>
  <si>
    <t>ESTACA ESCAVADA MECANICAMENTE, SEM FLUIDO ESTABILIZANTE, COM 25CM DE DIÂMETRO, CONCRETO LANÇADO POR CAMINHÃO BETONEIRA (EXCLUSIVE MOBILIZAÇÃO E DESMOBILIZAÇÃO). AF_01/2020_PA</t>
  </si>
  <si>
    <t>100897</t>
  </si>
  <si>
    <t>ESTACA ESCAVADA MECANICAMENTE, SEM FLUIDO ESTABILIZANTE, COM 40CM DE DIÂMETRO, CONCRETO LANÇADO POR CAMINHÃO BETONEIRA (EXCLUSIVE MOBILIZAÇÃO E DESMOBILIZAÇÃO). AF_01/2020_PA</t>
  </si>
  <si>
    <t>97092</t>
  </si>
  <si>
    <t>ARMAÇÃO PARA EXECUÇÃO DE RADIER, PISO DE CONCRETO OU LAJE SOBRE SOLO, COM USO DE TELA Q-196. AF_09/2021</t>
  </si>
  <si>
    <t>KG</t>
  </si>
  <si>
    <t>92768</t>
  </si>
  <si>
    <t>ARMAÇÃO DE LAJE DE ESTRUTURA CONVENCIONAL DE CONCRETO ARMADO UTILIZANDO AÇO CA-60 DE 5,0 MM - MONTAGEM. AF_06/2022</t>
  </si>
  <si>
    <t>92769</t>
  </si>
  <si>
    <t>ARMAÇÃO DE LAJE DE ESTRUTURA CONVENCIONAL DE CONCRETO ARMADO UTILIZANDO AÇO CA-50 DE 6,3 MM - MONTAGEM. AF_06/2022</t>
  </si>
  <si>
    <t>92771</t>
  </si>
  <si>
    <t>ARMAÇÃO DE LAJE DE ESTRUTURA CONVENCIONAL DE CONCRETO ARMADO UTILIZANDO AÇO CA-50 DE 10,0 MM - MONTAGEM. AF_06/2022</t>
  </si>
  <si>
    <t>92772</t>
  </si>
  <si>
    <t>ARMAÇÃO DE LAJE DE ESTRUTURA CONVENCIONAL DE CONCRETO ARMADO UTILIZANDO AÇO CA-50 DE 12,5 MM - MONTAGEM. AF_06/2022</t>
  </si>
  <si>
    <t>CURA DO CONCRETO COM ASPERSÃO DE ÁGUA</t>
  </si>
  <si>
    <t>M²</t>
  </si>
  <si>
    <t>96558</t>
  </si>
  <si>
    <t>CONCRETAGEM DE SAPATAS, FCK 30 MPA, COM USO DE BOMBA ? LANÇAMENTO, ADENSAMENTO E ACABAMENTO. AF_11/2016</t>
  </si>
  <si>
    <t>96535</t>
  </si>
  <si>
    <t>FABRICAÇÃO, MONTAGEM E DESMONTAGEM DE FÔRMA PARA SAPATA, EM MADEIRA SERRADA, E=25 MM, 4 UTILIZAÇÕES. AF_06/2017</t>
  </si>
  <si>
    <t>96546</t>
  </si>
  <si>
    <t>ARMAÇÃO DE BLOCO, VIGA BALDRAME OU SAPATA UTILIZANDO AÇO CA-50 DE 10 MM - MONTAGEM. AF_06/2017</t>
  </si>
  <si>
    <t>96619</t>
  </si>
  <si>
    <t>LASTRO DE CONCRETO MAGRO, APLICADO EM BLOCOS DE COROAMENTO OU SAPATAS, ESPESSURA DE 5 CM. AF_08/2017</t>
  </si>
  <si>
    <t>4</t>
  </si>
  <si>
    <t>97087</t>
  </si>
  <si>
    <t>CAMADA SEPARADORA PARA EXECUÇÃO DE RADIER, PISO DE CONCRETO OU LAJE SOBRE SOLO, EM LONA PLÁSTICA. AF_09/2021</t>
  </si>
  <si>
    <t>98557</t>
  </si>
  <si>
    <t>IMPERMEABILIZAÇÃO DE SUPERFÍCIE COM EMULSÃO ASFÁLTICA, 2 DEMÃOS. AF_09/2023</t>
  </si>
  <si>
    <t>5</t>
  </si>
  <si>
    <t>FORNECIMENTO DE MODULOS EM PVC, INCLUSIVE ACESSÓRIOS, EM CONFORMIDADE COM A DIRETRIZ SINAT 004/REV1-DATEC 017A (MINISTERIO DO DESENVOLVIMENTO REGIONAL) - BDI = 16,80</t>
  </si>
  <si>
    <t>MONTAGEM E TRAVAMENTO DE PAREDES EM MÓDULOS DE PVC</t>
  </si>
  <si>
    <t>94965</t>
  </si>
  <si>
    <t>CONCRETO FCK = 25MPA, TRAÇO 1:2,3:2,7 (EM MASSA SECA DE CIMENTO/ AREIA MÉDIA/ BRITA 1) - PREPARO MECÂNICO COM BETONEIRA 400 L. AF_05/2021</t>
  </si>
  <si>
    <t>00043618</t>
  </si>
  <si>
    <t>94966</t>
  </si>
  <si>
    <t>CONCRETO FCK = 30MPA, TRAÇO 1:2,1:2,5 (EM MASSA SECA DE CIMENTO/ AREIA MÉDIA/ BRITA 1) - PREPARO MECÂNICO COM BETONEIRA 400 L. AF_05/2021</t>
  </si>
  <si>
    <t>103670</t>
  </si>
  <si>
    <t>LANÇAMENTO COM USO DE BALDES, ADENSAMENTO E ACABAMENTO DE CONCRETO EM ESTRUTURAS. AF_02/2022</t>
  </si>
  <si>
    <t>91603</t>
  </si>
  <si>
    <t>ARMAÇÃO DO SISTEMA DE PAREDES DE CONCRETO, EXECUTADA COMO REFORÇO, VERGALHÃO DE 10,0 MM DE DIÂMETRO. AF_06/2019</t>
  </si>
  <si>
    <t>92267</t>
  </si>
  <si>
    <t>FABRICAÇÃO DE FÔRMA PARA LAJES, EM CHAPA DE MADEIRA COMPENSADA RESINADA, E = 17 MM. AF_09/2020</t>
  </si>
  <si>
    <t>98546</t>
  </si>
  <si>
    <t>IMPERMEABILIZAÇÃO DE SUPERFÍCIE COM MANTA ASFÁLTICA, UMA CAMADA, INCLUSIVE APLICAÇÃO DE PRIMER ASFÁLTICO, E=4MM. AF_09/2023</t>
  </si>
  <si>
    <t>98571</t>
  </si>
  <si>
    <t>PROTEÇÃO MECÂNICA DE SUPERFICIE HORIZONTAL COM CONCRETO 15 MPA, E=4CM. AF_09/2023</t>
  </si>
  <si>
    <t>101792</t>
  </si>
  <si>
    <t>ESCORAMENTO DE FÔRMAS DE LAJE EM MADEIRA NÃO APARELHADA, PÉ-DIREITO SIMPLES, INCLUSO TRAVAMENTO, 4 UTILIZAÇÕES. AF_09/2020</t>
  </si>
  <si>
    <t>6</t>
  </si>
  <si>
    <t>103322</t>
  </si>
  <si>
    <t>ALVENARIA DE VEDAÇÃO DE BLOCOS CERÂMICOS FURADOS NA VERTICAL DE 9X19X39 CM (ESPESSURA 9 CM) E ARGAMASSA DE ASSENTAMENTO COM PREPARO EM BETONEIRA. AF_12/2021</t>
  </si>
  <si>
    <t>102253</t>
  </si>
  <si>
    <t>DIVISORIA SANITÁRIA, TIPO CABINE, EM GRANITO CINZA POLIDO, ESP = 3CM, ASSENTADO COM ARGAMASSA COLANTE AC III-E, EXCLUSIVE FERRAGENS. AF_01/2021</t>
  </si>
  <si>
    <t>101161</t>
  </si>
  <si>
    <t>ALVENARIA DE VEDAÇÃO COM ELEMENTO VAZADO DE CONCRETO (COBOGÓ) DE 7X50X50CM E ARGAMASSA DE ASSENTAMENTO COM PREPARO EM BETONEIRA. AF_05/2020</t>
  </si>
  <si>
    <t>7</t>
  </si>
  <si>
    <t>87879</t>
  </si>
  <si>
    <t>CHAPISCO APLICADO EM ALVENARIAS E ESTRUTURAS DE CONCRETO INTERNAS, COM COLHER DE PEDREIRO.  ARGAMASSA TRAÇO 1:3 COM PREPARO EM BETONEIRA 400L. AF_10/2022</t>
  </si>
  <si>
    <t>87794</t>
  </si>
  <si>
    <t>EMBOÇO OU MASSA ÚNICA EM ARGAMASSA TRAÇO 1:2:8, PREPARO MANUAL, APLICADA MANUALMENTE EM PANOS CEGOS DE FACHADA (SEM PRESENÇA DE VÃOS), ESPESSURA DE 25 MM. AF_09/2022</t>
  </si>
  <si>
    <t>101739</t>
  </si>
  <si>
    <t>RODAPÉ EM MADEIRA, ALTURA 7CM, FIXADO COM COLA E PARAFUSOS. AF_09/2020</t>
  </si>
  <si>
    <t>S02344</t>
  </si>
  <si>
    <t>ORSE</t>
  </si>
  <si>
    <t>PREPARO DE SUPERFÍCIE COM LIXAMENTO DE PAREDES E TETOS</t>
  </si>
  <si>
    <t>98555</t>
  </si>
  <si>
    <t>IMPERMEABILIZAÇÃO DE SUPERFÍCIE COM ARGAMASSA POLIMÉRICA / MEMBRANA ACRÍLICA, 3 DEMÃOS. AF_09/2023</t>
  </si>
  <si>
    <t>104611</t>
  </si>
  <si>
    <t>REVESTIMENTO CERÂMICO PARA PAREDES INTERNAS COM PLACAS TIPO ESMALTADA EXTRA DE DIMENSÕES 60X60 CM APLICADAS NA ALTURA INTEIRA DAS PAREDES. AF_02/2023_PE</t>
  </si>
  <si>
    <t>8</t>
  </si>
  <si>
    <t>SISTEMA DE COBERTURA</t>
  </si>
  <si>
    <t>94216</t>
  </si>
  <si>
    <t>TELHAMENTO COM TELHA METÁLICA TERMOACÚSTICA E = 30 MM, COM ATÉ 2 ÁGUAS, INCLUSO IÇAMENTO. AF_07/2019</t>
  </si>
  <si>
    <t>13.168.0010-0</t>
  </si>
  <si>
    <t>PLACA DE POLICARBONATO EM CRISTAL COMPACTO,COM ESPESSURA DE 10MM.FORNECIMENTO E COLOCACAO</t>
  </si>
  <si>
    <t>94231</t>
  </si>
  <si>
    <t>RUFO EM CHAPA DE AÇO GALVANIZADO NÚMERO 24, CORTE DE 25 CM, INCLUSO TRANSPORTE VERTICAL. AF_07/2019</t>
  </si>
  <si>
    <t>96486</t>
  </si>
  <si>
    <t>FORRO EM RÉGUAS DE PVC, LISO, PARA AMBIENTES COMERCIAIS, INCLUSIVE ESTRUTURA BIDIRECIONAL DE FIXAÇÃO. AF_08/2023_PS</t>
  </si>
  <si>
    <t>94228</t>
  </si>
  <si>
    <t>CALHA EM CHAPA DE AÇO GALVANIZADO NÚMERO 24, DESENVOLVIMENTO DE 50 CM, INCLUSO TRANSPORTE VERTICAL. AF_07/2019</t>
  </si>
  <si>
    <t>94229</t>
  </si>
  <si>
    <t>CALHA EM CHAPA DE AÇO GALVANIZADO NÚMERO 24, DESENVOLVIMENTO DE 100 CM, INCLUSO TRANSPORTE VERTICAL. AF_07/2019</t>
  </si>
  <si>
    <t>PEITORIL DE CONCRETO ARMADO COM PINGADEIRA LARGURA 13 CM</t>
  </si>
  <si>
    <t>9</t>
  </si>
  <si>
    <t>94439</t>
  </si>
  <si>
    <t>(COMPOSIÇÃO REPRESENTATIVA) DO SERVIÇO DE CONTRAPISO EM ARGAMASSA TRAÇO 1:4 (CIM E AREIA), BETONEIRA 400 L, E = 4 CM ÁREAS SECAS E  MOLHADAS SOBRE LAJE , E = 3 CM ÁREAS MOLHADAS SOBRE IMPERMEABILIZAÇÃO, CASA E EDIFICAÇÃO PÚBLICA PADRÃO. AF_11/2014</t>
  </si>
  <si>
    <t>87263</t>
  </si>
  <si>
    <t>REVESTIMENTO CERÂMICO PARA PISO COM PLACAS TIPO PORCELANATO DE DIMENSÕES 60X60 CM APLICADA EM AMBIENTES DE ÁREA MAIOR QUE 10 M². AF_02/2023_PE</t>
  </si>
  <si>
    <t>98682</t>
  </si>
  <si>
    <t>PISO CIMENTADO, TRAÇO 1:3 (CIMENTO E AREIA), ACABAMENTO RÚSTICO, ESPESSURA 3,0 CM, PREPARO MECÂNICO DA ARGAMASSA. AF_09/2020</t>
  </si>
  <si>
    <t>101727</t>
  </si>
  <si>
    <t>PISO VINÍLICO SEMI-FLEXÍVEL EM PLACAS, PADRÃO LISO, ESPESSURA 3,2 MM, FIXADO COM COLA. AF_09/2020</t>
  </si>
  <si>
    <t>CP-88650</t>
  </si>
  <si>
    <t>100323</t>
  </si>
  <si>
    <t>LASTRO COM MATERIAL GRANULAR (AREIA MÉDIA), APLICADO EM PISOS OU LAJES SOBRE SOLO, ESPESSURA DE *10 CM*. AF_07/2019</t>
  </si>
  <si>
    <t>101094</t>
  </si>
  <si>
    <t>PISO PODOTÁTIL DE ALERTA OU DIRECIONAL, DE BORRACHA, ASSENTADO SOBRE ARGAMASSA. AF_05/2020</t>
  </si>
  <si>
    <t>94319</t>
  </si>
  <si>
    <t>ATERRO MANUAL DE VALAS COM SOLO ARGILO-ARENOSO. AF_08/2023</t>
  </si>
  <si>
    <t>95240</t>
  </si>
  <si>
    <t>LASTRO DE CONCRETO MAGRO, APLICADO EM PISOS, LAJES SOBRE SOLO OU RADIERS, ESPESSURA DE 3 CM. AF_07/2016</t>
  </si>
  <si>
    <t>98689</t>
  </si>
  <si>
    <t>SOLEIRA EM GRANITO, LARGURA 15 CM, ESPESSURA 2,0 CM. AF_09/2020</t>
  </si>
  <si>
    <t>94990</t>
  </si>
  <si>
    <t>EXECUÇÃO DE PASSEIO (CALÇADA) OU PISO DE CONCRETO COM CONCRETO MOLDADO IN LOCO, FEITO EM OBRA, ACABAMENTO CONVENCIONAL, NÃO ARMADO. AF_08/2022</t>
  </si>
  <si>
    <t>FORNECIMENTO E ASSENTAMENTO DE JUNTAS PLÁSTICAS PARA PISOS 27 X 3MM</t>
  </si>
  <si>
    <t>94275</t>
  </si>
  <si>
    <t>ASSENTAMENTO DE GUIA (MEIO-FIO) EM TRECHO RETO, CONFECCIONADA EM CONCRETO PRÉ-FABRICADO, DIMENSÕES 100X15X13X20 CM (COMPRIMENTO X BASE INFERIOR X BASE SUPERIOR X ALTURA), PARA URBANIZAÇÃO INTERNA DE EMPREENDIMENTOS. AF_06/2016</t>
  </si>
  <si>
    <t>92396</t>
  </si>
  <si>
    <t>EXECUÇÃO DE PASSEIO EM PISO INTERTRAVADO, COM BLOCO RETANGULAR COR NATURAL DE 20 X 10 CM, ESPESSURA 6 CM. AF_10/2022</t>
  </si>
  <si>
    <t>92397</t>
  </si>
  <si>
    <t>EXECUÇÃO DE PAVIMENTO EM PISO INTERTRAVADO, COM BLOCO RETANGULAR COR NATURAL DE 20 X 10 CM, ESPESSURA 6 CM. AF_10/2022</t>
  </si>
  <si>
    <t>103946</t>
  </si>
  <si>
    <t>PLANTIO DE GRAMA ESMERALDA OU SÃO CARLOS OU CURITIBANA, EM PLACAS. AF_05/2022</t>
  </si>
  <si>
    <t>93358</t>
  </si>
  <si>
    <t>ESCAVAÇÃO MANUAL DE VALA COM PROFUNDIDADE MENOR OU IGUAL A 1,30 M. AF_02/2021</t>
  </si>
  <si>
    <t>10</t>
  </si>
  <si>
    <t>ESQUADRIAS</t>
  </si>
  <si>
    <t>90844</t>
  </si>
  <si>
    <t>KIT DE PORTA DE MADEIRA PARA PINTURA, SEMI-OCA (LEVE OU MÉDIA), PADRÃO MÉDIO, 90X210CM, ESPESSURA DE 3,5CM, ITENS INCLUSOS: DOBRADIÇAS, MONTAGEM E INSTALAÇÃO DO BATENTE, FECHADURA COM EXECUÇÃO DO FURO - FORNECIMENTO E INSTALAÇÃO. AF_12/2019</t>
  </si>
  <si>
    <t>90843</t>
  </si>
  <si>
    <t>KIT DE PORTA DE MADEIRA PARA PINTURA, SEMI-OCA (LEVE OU MÉDIA), PADRÃO MÉDIO, 80X210CM, ESPESSURA DE 3,5CM, ITENS INCLUSOS: DOBRADIÇAS, MONTAGEM E INSTALAÇÃO DO BATENTE, FECHADURA COM EXECUÇÃO DO FURO - FORNECIMENTO E INSTALAÇÃO. AF_12/2019</t>
  </si>
  <si>
    <t>90842</t>
  </si>
  <si>
    <t>KIT DE PORTA DE MADEIRA PARA PINTURA, SEMI-OCA (LEVE OU MÉDIA), PADRÃO MÉDIO, 70X210CM, ESPESSURA DE 3,5CM, ITENS INCLUSOS: DOBRADIÇAS, MONTAGEM E INSTALAÇÃO DO BATENTE, FECHADURA COM EXECUÇÃO DO FURO - FORNECIMENTO E INSTALAÇÃO. AF_12/2019</t>
  </si>
  <si>
    <t>90841</t>
  </si>
  <si>
    <t>KIT DE PORTA DE MADEIRA PARA PINTURA, SEMI-OCA (LEVE OU MÉDIA), PADRÃO MÉDIO, 60X210CM, ESPESSURA DE 3,5CM, ITENS INCLUSOS: DOBRADIÇAS, MONTAGEM E INSTALAÇÃO DO BATENTE, FECHADURA COM EXECUÇÃO DO FURO - FORNECIMENTO E INSTALAÇÃO. AF_12/2019</t>
  </si>
  <si>
    <t>100874</t>
  </si>
  <si>
    <t>PUXADOR PARA PCD, FIXADO NA PORTA - FORNECIMENTO E INSTALAÇÃO. AF_01/2020</t>
  </si>
  <si>
    <t>100705</t>
  </si>
  <si>
    <t>TARJETA TIPO LIVRE/OCUPADO PARA PORTA DE BANHEIRO. AF_12/2019</t>
  </si>
  <si>
    <t>90830</t>
  </si>
  <si>
    <t>FECHADURA DE EMBUTIR COM CILINDRO, EXTERNA, COMPLETA, ACABAMENTO PADRÃO MÉDIO, INCLUSO EXECUÇÃO DE FURO - FORNECIMENTO E INSTALAÇÃO. AF_12/2019</t>
  </si>
  <si>
    <t>PORTA DE ABRIR COM MOLA HIDRÁULICA, EM VIDRO TEMPERADO, 2 FOLHAS DE 90X230 CM, ESPESSURA DD 10MM, INCLUSIVE ACESSÓRIOS. AF_01/2021</t>
  </si>
  <si>
    <t>102235</t>
  </si>
  <si>
    <t>DIVISÓRIA FIXA EM VIDRO TEMPERADO 10 MM, SEM ABERTURA. AF_01/2021_PS</t>
  </si>
  <si>
    <t>94569</t>
  </si>
  <si>
    <t>JANELA DE ALUMÍNIO TIPO MAXIM-AR, COM VIDROS, BATENTE E FERRAGENS. EXCLUSIVE ALIZAR, ACABAMENTO E CONTRAMARCO. FORNECIMENTO E INSTALAÇÃO. AF_12/2019</t>
  </si>
  <si>
    <t>100674</t>
  </si>
  <si>
    <t>JANELA FIXA DE ALUMÍNIO PARA VIDRO, COM VIDRO, BATENTE E FERRAGENS. EXCLUSIVE ACABAMENTO, ALIZAR E CONTRAMARCO. FORNECIMENTO E INSTALAÇÃO. AF_12/2019</t>
  </si>
  <si>
    <t>94570</t>
  </si>
  <si>
    <t>JANELA DE ALUMÍNIO DE CORRER COM 2 FOLHAS PARA VIDROS, COM VIDROS, BATENTE, ACABAMENTO COM ACETATO OU BRILHANTE E FERRAGENS. EXCLUSIVE ALIZAR E CONTRAMARCO. FORNECIMENTO E INSTALAÇÃO. AF_12/2019</t>
  </si>
  <si>
    <t>PORTÕES E GRADIS METÁLICOS</t>
  </si>
  <si>
    <t>91341</t>
  </si>
  <si>
    <t>PORTA EM ALUMÍNIO DE ABRIR TIPO VENEZIANA COM GUARNIÇÃO, FIXAÇÃO COM PARAFUSOS - FORNECIMENTO E INSTALAÇÃO. AF_12/2019</t>
  </si>
  <si>
    <t>100701</t>
  </si>
  <si>
    <t>PORTA DE FERRO, DE ABRIR, TIPO GRADE COM CHAPA, COM GUARNIÇÕES. AF_12/2019</t>
  </si>
  <si>
    <t>100702</t>
  </si>
  <si>
    <t>PORTA DE CORRER DE ALUMÍNIO, COM DUAS FOLHAS PARA VIDRO, INCLUSO VIDRO LISO INCOLOR, FECHADURA E PUXADOR, SEM ALIZAR. AF_12/2019</t>
  </si>
  <si>
    <t>GRADIL EM FERRO, FORMADO POR BARRAS CHATAS DE 25X4,8 MM. AF_04/2019</t>
  </si>
  <si>
    <t>11</t>
  </si>
  <si>
    <t>100757</t>
  </si>
  <si>
    <t>PINTURA COM TINTA ALQUÍDICA DE ACABAMENTO (ESMALTE SINTÉTICO ACETINADO) PULVERIZADA SOBRE SUPERFÍCIES METÁLICAS (EXCETO PERFIL) EXECUTADO EM OBRA (02 DEMÃOS). AF_01/2020_PE</t>
  </si>
  <si>
    <t>CP-74065/001</t>
  </si>
  <si>
    <t>PINTURA ESMALTE FOSCO PARA MADEIRA, DUAS DEMAOS, SOBRE FUNDO NIVELADOR BRANCO</t>
  </si>
  <si>
    <t>88489</t>
  </si>
  <si>
    <t>PINTURA LÁTEX ACRÍLICA PREMIUM, APLICAÇÃO MANUAL EM PAREDES, DUAS DEMÃOS. AF_04/2023</t>
  </si>
  <si>
    <t>102520</t>
  </si>
  <si>
    <t>PINTURA DE SINALIZAÇÃO VERTICAL DE SEGURANÇA, FAIXAS AMARELA E PRETA, APLICAÇÃO MANUAL, 2 DEMÃOS. AF_05/2021</t>
  </si>
  <si>
    <t>102494</t>
  </si>
  <si>
    <t>PINTURA DE PISO COM TINTA EPÓXI, APLICAÇÃO MANUAL, 2 DEMÃOS, INCLUSO PRIMER EPÓXI. AF_05/2021</t>
  </si>
  <si>
    <t>102498</t>
  </si>
  <si>
    <t>PINTURA DE MEIO-FIO COM TINTA BRANCA A BASE DE CAL (CAIAÇÃO). AF_05/2021</t>
  </si>
  <si>
    <t>12</t>
  </si>
  <si>
    <t>89446</t>
  </si>
  <si>
    <t>TUBO, PVC, SOLDÁVEL, DN 25MM, INSTALADO EM PRUMADA DE ÁGUA - FORNECIMENTO E INSTALAÇÃO. AF_06/2022</t>
  </si>
  <si>
    <t>89447</t>
  </si>
  <si>
    <t>TUBO, PVC, SOLDÁVEL, DN 32MM, INSTALADO EM PRUMADA DE ÁGUA - FORNECIMENTO E INSTALAÇÃO. AF_06/2022</t>
  </si>
  <si>
    <t>89448</t>
  </si>
  <si>
    <t>TUBO, PVC, SOLDÁVEL, DN 40MM, INSTALADO EM PRUMADA DE ÁGUA - FORNECIMENTO E INSTALAÇÃO. AF_06/2022</t>
  </si>
  <si>
    <t>89449</t>
  </si>
  <si>
    <t>TUBO, PVC, SOLDÁVEL, DN 50MM, INSTALADO EM PRUMADA DE ÁGUA - FORNECIMENTO E INSTALAÇÃO. AF_06/2022</t>
  </si>
  <si>
    <t>89450</t>
  </si>
  <si>
    <t>TUBO, PVC, SOLDÁVEL, DN 60MM, INSTALADO EM PRUMADA DE ÁGUA - FORNECIMENTO E INSTALAÇÃO. AF_06/2022</t>
  </si>
  <si>
    <t>89451</t>
  </si>
  <si>
    <t>TUBO, PVC, SOLDÁVEL, DN 75MM, INSTALADO EM PRUMADA DE ÁGUA - FORNECIMENTO E INSTALAÇÃO. AF_06/2022</t>
  </si>
  <si>
    <t>TUBO DE AÇO GALVANIZADO COM COSTURA, CLASSE MÉDIA, DN 25 (1"), CONEXÃO ROSQUEADA, INSTALADO EM REDE DE ÁGUA - FORNECIMENTO E INSTALAÇÃO.</t>
  </si>
  <si>
    <t>89622</t>
  </si>
  <si>
    <t>TÊ DE REDUÇÃO, PVC, SOLDÁVEL, DN 32MM X 25MM, INSTALADO EM PRUMADA DE ÁGUA - FORNECIMENTO E INSTALAÇÃO. AF_06/2022</t>
  </si>
  <si>
    <t>89624</t>
  </si>
  <si>
    <t>TÊ DE REDUÇÃO, PVC, SOLDÁVEL, DN 40MM X 32MM, INSTALADO EM PRUMADA DE ÁGUA - FORNECIMENTO E INSTALAÇÃO. AF_06/2022</t>
  </si>
  <si>
    <t>104005</t>
  </si>
  <si>
    <t>TÊ DE REDUÇÃO, PVC, SOLDÁVEL, DN 50MM X 40MM, INSTALADO EM RAMAL DE DISTRIBUIÇÃO DE ÁGUA - FORNECIMENTO E INSTALAÇÃO. AF_06/2022</t>
  </si>
  <si>
    <t>89630</t>
  </si>
  <si>
    <t>TE DE REDUÇÃO, PVC, SOLDÁVEL, DN 75MM X 50MM, INSTALADO EM PRUMADA DE ÁGUA - FORNECIMENTO E INSTALAÇÃO. AF_06/2022</t>
  </si>
  <si>
    <t>89617</t>
  </si>
  <si>
    <t>TE, PVC, SOLDÁVEL, DN 25MM, INSTALADO EM PRUMADA DE ÁGUA - FORNECIMENTO E INSTALAÇÃO. AF_06/2022</t>
  </si>
  <si>
    <t>89620</t>
  </si>
  <si>
    <t>TE, PVC, SOLDÁVEL, DN 32MM, INSTALADO EM PRUMADA DE ÁGUA - FORNECIMENTO E INSTALAÇÃO. AF_06/2022</t>
  </si>
  <si>
    <t>104011</t>
  </si>
  <si>
    <t>TE, PVC, SOLDÁVEL, DN 40MM, INSTALADO EM RAMAL DE DISTRIBUIÇÃO DE ÁGUA - FORNECIMENTO E INSTALAÇÃO. AF_06/2022</t>
  </si>
  <si>
    <t>89625</t>
  </si>
  <si>
    <t>TE, PVC, SOLDÁVEL, DN 50MM, INSTALADO EM PRUMADA DE ÁGUA - FORNECIMENTO E INSTALAÇÃO. AF_06/2022</t>
  </si>
  <si>
    <t>89629</t>
  </si>
  <si>
    <t>TE, PVC, SOLDÁVEL, DN 75MM, INSTALADO EM PRUMADA DE ÁGUA - FORNECIMENTO E INSTALAÇÃO. AF_06/2022</t>
  </si>
  <si>
    <t>90374</t>
  </si>
  <si>
    <t>TÊ COM BUCHA DE LATÃO NA BOLSA CENTRAL, PVC, SOLDÁVEL, DN 25MM X 3/4 , INSTALADO EM RAMAL OU SUB-RAMAL DE ÁGUA - FORNECIMENTO E INSTALAÇÃO. AF_06/2022</t>
  </si>
  <si>
    <t>89399</t>
  </si>
  <si>
    <t>TÊ COM BUCHA DE LATÃO NA BOLSA CENTRAL, PVC, SOLDÁVEL, DN 32MM X 3/4 , INSTALADO EM RAMAL OU SUB-RAMAL DE ÁGUA - FORNECIMENTO E INSTALAÇÃO. AF_06/2022</t>
  </si>
  <si>
    <t>92637</t>
  </si>
  <si>
    <t>TÊ, EM FERRO GALVANIZADO, CONEXÃO ROSQUEADA, DN 25 (1"), INSTALADO EM REDE DE ALIMENTAÇÃO PARA HIDRANTE - FORNECIMENTO E INSTALAÇÃO. AF_10/2020</t>
  </si>
  <si>
    <t>COTOVELO 90 GRAUS, EM FERRO GALVANIZADO, CONEXÃO ROSQUEADA, DN 20 (3/4"), INSTALADO EM RESERVAÇÃO DE ÁGUA DE EDIFICAÇÃO QUE POSSUA RESERVATÓRIO DE FIBRA/FIBROCIMENTO ? FORNECIMENTO E INSTALAÇÃO.</t>
  </si>
  <si>
    <t>COTOVELO 90 GRAUS, EM FERRO GALVANIZADO, CONEXÃO ROSQUEADA, DN 25 (1"), INSTALADO EM RESERVAÇÃO DE ÁGUA DE EDIFICAÇÃO QUE POSSUA RESERVATÓRIO DE FIBRA/FIBROCIMENTO ? FORNECIMENTO E INSTALAÇÃO.</t>
  </si>
  <si>
    <t>JOELHO 90 GRAUS, PVC, SOLDÁVEL, DN 25MM, INSTALADO EM PRUMADA DE ÁGUA - FORNECIMENTO E INSTALAÇÃO. AF_06/2022</t>
  </si>
  <si>
    <t>89367</t>
  </si>
  <si>
    <t>JOELHO 90 GRAUS, PVC, SOLDÁVEL, DN 32MM, INSTALADO EM RAMAL OU SUB-RAMAL DE ÁGUA - FORNECIMENTO E INSTALAÇÃO. AF_06/2022</t>
  </si>
  <si>
    <t>103980</t>
  </si>
  <si>
    <t>JOELHO 90 GRAUS, PVC, SOLDÁVEL, DN 40MM, INSTALADO EM RAMAL DE DISTRIBUIÇÃO DE ÁGUA - FORNECIMENTO E INSTALAÇÃO. AF_06/2022</t>
  </si>
  <si>
    <t>89501</t>
  </si>
  <si>
    <t>JOELHO 90 GRAUS, PVC, SOLDÁVEL, DN 50MM, INSTALADO EM PRUMADA DE ÁGUA - FORNECIMENTO E INSTALAÇÃO. AF_06/2022</t>
  </si>
  <si>
    <t>89505</t>
  </si>
  <si>
    <t>JOELHO 90 GRAUS, PVC, SOLDÁVEL, DN 60MM, INSTALADO EM PRUMADA DE ÁGUA - FORNECIMENTO E INSTALAÇÃO. AF_06/2022</t>
  </si>
  <si>
    <t>89513</t>
  </si>
  <si>
    <t>JOELHO 90 GRAUS, PVC, SOLDÁVEL, DN 75MM, INSTALADO EM PRUMADA DE ÁGUA - FORNECIMENTO E INSTALAÇÃO. AF_06/2022</t>
  </si>
  <si>
    <t>89366</t>
  </si>
  <si>
    <t>JOELHO 90 GRAUS COM BUCHA DE LATÃO, PVC, SOLDÁVEL, DN 25MM, X 3/4  INSTALADO EM RAMAL OU SUB-RAMAL DE ÁGUA - FORNECIMENTO E INSTALAÇÃO. AF_06/2022</t>
  </si>
  <si>
    <t>89381</t>
  </si>
  <si>
    <t>LUVA COM BUCHA DE LATÃO, PVC, SOLDÁVEL, DN 25MM X 3/4 , INSTALADO EM RAMAL OU SUB-RAMAL DE ÁGUA - FORNECIMENTO E INSTALAÇÃO. AF_06/2022</t>
  </si>
  <si>
    <t>89385</t>
  </si>
  <si>
    <t>LUVA SOLDÁVEL E COM ROSCA, PVC, SOLDÁVEL, DN 25MM X 3/4 , INSTALADO EM RAMAL OU SUB-RAMAL DE ÁGUA - FORNECIMENTO E INSTALAÇÃO. AF_06/2022</t>
  </si>
  <si>
    <t>89536</t>
  </si>
  <si>
    <t>UNIÃO, PVC, SOLDÁVEL, DN 25MM, INSTALADO EM PRUMADA DE ÁGUA - FORNECIMENTO E INSTALAÇÃO. AF_06/2022</t>
  </si>
  <si>
    <t>92905</t>
  </si>
  <si>
    <t>92892</t>
  </si>
  <si>
    <t>UNIÃO, EM FERRO GALVANIZADO, DN 25 (1"), CONEXÃO ROSQUEADA, INSTALADO EM REDE DE ALIMENTAÇÃO PARA HIDRANTE - FORNECIMENTO E INSTALAÇÃO. AF_10/2020</t>
  </si>
  <si>
    <t>89383</t>
  </si>
  <si>
    <t>ADAPTADOR CURTO COM BOLSA E ROSCA PARA REGISTRO, PVC, SOLDÁVEL, DN 25MM X 3/4 , INSTALADO EM RAMAL OU SUB-RAMAL DE ÁGUA - FORNECIMENTO E INSTALAÇÃO. AF_06/2022</t>
  </si>
  <si>
    <t>89391</t>
  </si>
  <si>
    <t>ADAPTADOR CURTO COM BOLSA E ROSCA PARA REGISTRO, PVC, SOLDÁVEL, DN 32MM X 1 , INSTALADO EM RAMAL OU SUB-RAMAL DE ÁGUA - FORNECIMENTO E INSTALAÇÃO. AF_06/2022</t>
  </si>
  <si>
    <t>94660</t>
  </si>
  <si>
    <t>ADAPTADOR CURTO COM BOLSA E ROSCA PARA REGISTRO, PVC, SOLDÁVEL, DN 40 MM X 1 1/4 , INSTALADO EM RESERVAÇÃO DE ÁGUA DE EDIFICAÇÃO QUE POSSUA RESERVATÓRIO DE FIBRA/FIBROCIMENTO   FORNECIMENTO E INSTALAÇÃO. AF_06/2016</t>
  </si>
  <si>
    <t>89596</t>
  </si>
  <si>
    <t>ADAPTADOR CURTO COM BOLSA E ROSCA PARA REGISTRO, PVC, SOLDÁVEL, DN 50MM X 1.1/2 , INSTALADO EM PRUMADA DE ÁGUA - FORNECIMENTO E INSTALAÇÃO. AF_06/2022</t>
  </si>
  <si>
    <t>103957</t>
  </si>
  <si>
    <t>BUCHA DE REDUÇÃO, CURTA, PVC, SOLDÁVEL, DN 32 X 25 MM, INSTALADO EM PRUMADA DE ÁGUA - FORNECIMENTO E INSTALAÇÃO. AF_06/2022</t>
  </si>
  <si>
    <t>103977</t>
  </si>
  <si>
    <t>BUCHA DE REDUÇÃO, PVC, SOLDÁVEL, DN 40MM X 32MM, INSTALADO EM PRUMADA DE ÁGUA - FORNECIMENTO E INSTALAÇÃO. AF_06/2022</t>
  </si>
  <si>
    <t>103958</t>
  </si>
  <si>
    <t>BUCHA DE REDUÇÃO, CURTA, PVC, SOLDÁVEL, DN 50 X 40 MM, INSTALADO EM PRUMADA DE ÁGUA - FORNECIMENTO E INSTALAÇÃO. AF_06/2022</t>
  </si>
  <si>
    <t>103972</t>
  </si>
  <si>
    <t>BUCHA DE REDUÇÃO, LONGA, PVC, SOLDÁVEL, DN 75 X 50 MM, INSTALADO EM PRUMADA DE ÁGUA - FORNECIMENTO E INSTALAÇÃO. AF_06/2022</t>
  </si>
  <si>
    <t>89987</t>
  </si>
  <si>
    <t>REGISTRO DE GAVETA BRUTO, LATÃO, ROSCÁVEL, 3/4", COM ACABAMENTO E CANOPLA CROMADOS - FORNECIMENTO E INSTALAÇÃO. AF_08/2021</t>
  </si>
  <si>
    <t>94792</t>
  </si>
  <si>
    <t>REGISTRO DE GAVETA BRUTO, LATÃO, ROSCÁVEL, 1", COM ACABAMENTO E CANOPLA CROMADOS - FORNECIMENTO E INSTALAÇÃO. AF_08/2021</t>
  </si>
  <si>
    <t>94794</t>
  </si>
  <si>
    <t>REGISTRO DE GAVETA BRUTO, LATÃO, ROSCÁVEL, 1 1/2", COM ACABAMENTO E CANOPLA CROMADOS - FORNECIMENTO E INSTALAÇÃO. AF_08/2021</t>
  </si>
  <si>
    <t>94793</t>
  </si>
  <si>
    <t>REGISTRO DE GAVETA BRUTO, LATÃO, ROSCÁVEL, 1 1/4", COM ACABAMENTO E CANOPLA CROMADOS - FORNECIMENTO E INSTALAÇÃO. AF_08/2021</t>
  </si>
  <si>
    <t>94499</t>
  </si>
  <si>
    <t>REGISTRO DE GAVETA BRUTO, LATÃO, ROSCÁVEL, 2 1/2" - FORNECIMENTO E INSTALAÇÃO. AF_08/2021</t>
  </si>
  <si>
    <t>94489</t>
  </si>
  <si>
    <t>REGISTRO DE ESFERA, PVC, SOLDÁVEL, COM VOLANTE, DN  25 MM - FORNECIMENTO E INSTALAÇÃO. AF_08/2021</t>
  </si>
  <si>
    <t>89985</t>
  </si>
  <si>
    <t>REGISTRO DE PRESSÃO BRUTO, LATÃO, ROSCÁVEL, 3/4", COM ACABAMENTO E CANOPLA CROMADOS - FORNECIMENTO E INSTALAÇÃO. AF_08/2021</t>
  </si>
  <si>
    <t>103011</t>
  </si>
  <si>
    <t>VÁLVULA DE RETENÇÃO, DE BRONZE, PÉ COM CRIVOS, ROSCÁVEL, 1" - FORNECIMENTO E INSTALAÇÃO. AF_08/2021</t>
  </si>
  <si>
    <t>94796</t>
  </si>
  <si>
    <t>TORNEIRA DE BOIA PARA CAIXA D'ÁGUA, ROSCÁVEL, 3/4" - FORNECIMENTO E INSTALAÇÃO. AF_08/2021</t>
  </si>
  <si>
    <t>102116</t>
  </si>
  <si>
    <t>BOMBA CENTRÍFUGA, TRIFÁSICA, 1,5 CV OU 1,48 HP, HM 10 A 24 M, Q 6,1 A 21,9 M3/H - FORNECIMENTO E INSTALAÇÃO. AF_12/2020</t>
  </si>
  <si>
    <t>94483</t>
  </si>
  <si>
    <t>CONJUNTO HIDRÁULICO PARA INSTALAÇÃO DE BOMBA EM AÇO ROSCÁVEL, DN SUCÇÃO 32 (1 1/4?) E DN RECALQUE 25 (1?), PARA EDIFICAÇÃO ATÉ 4 PAVIMENTOS ? FORNECIMENTO E INSTALAÇÃO. AF_06/2016</t>
  </si>
  <si>
    <t>95675</t>
  </si>
  <si>
    <t>HIDRÔMETRO DN 25 (¾ ), 5,0 M³/H FORNECIMENTO E INSTALAÇÃO. AF_11/2016</t>
  </si>
  <si>
    <t>13168</t>
  </si>
  <si>
    <t>93287</t>
  </si>
  <si>
    <t>GUINDASTE HIDRÁULICO AUTOPROPELIDO, COM LANÇA TELESCÓPICA 40 M, CAPACIDADE MÁXIMA 60 T, POTÊNCIA 260 KW - CHP DIURNO. AF_03/2016</t>
  </si>
  <si>
    <t>93288</t>
  </si>
  <si>
    <t>GUINDASTE HIDRÁULICO AUTOPROPELIDO, COM LANÇA TELESCÓPICA 40 M, CAPACIDADE MÁXIMA 60 T, POTÊNCIA 260 KW - CHI DIURNO. AF_03/2016</t>
  </si>
  <si>
    <t>13</t>
  </si>
  <si>
    <t>89711</t>
  </si>
  <si>
    <t>TUBO PVC, SERIE NORMAL, ESGOTO PREDIAL, DN 40 MM, FORNECIDO E INSTALADO EM RAMAL DE DESCARGA OU RAMAL DE ESGOTO SANITÁRIO. AF_08/2022</t>
  </si>
  <si>
    <t>89712</t>
  </si>
  <si>
    <t>TUBO PVC, SERIE NORMAL, ESGOTO PREDIAL, DN 50 MM, FORNECIDO E INSTALADO EM RAMAL DE DESCARGA OU RAMAL DE ESGOTO SANITÁRIO. AF_08/2022</t>
  </si>
  <si>
    <t>89713</t>
  </si>
  <si>
    <t>TUBO PVC, SERIE NORMAL, ESGOTO PREDIAL, DN 75 MM, FORNECIDO E INSTALADO EM RAMAL DE DESCARGA OU RAMAL DE ESGOTO SANITÁRIO. AF_08/2022</t>
  </si>
  <si>
    <t>89714</t>
  </si>
  <si>
    <t>TUBO PVC, SERIE NORMAL, ESGOTO PREDIAL, DN 100 MM, FORNECIDO E INSTALADO EM RAMAL DE DESCARGA OU RAMAL DE ESGOTO SANITÁRIO. AF_08/2022</t>
  </si>
  <si>
    <t>104341</t>
  </si>
  <si>
    <t>BUCHA DE REDUÇÃO LONGA, PVC, SÉRIE NORMAL, ESGOTO PREDIAL, DN 50 X 40 MM, JUNTA SOLDÁVEL E ELÁSTICA, FORNECIDO E INSTALADO EM RAMAL DE DESCARGA OU RAMAL DE ESGOTO SANITÁRIO. AF_08/2022</t>
  </si>
  <si>
    <t>89726</t>
  </si>
  <si>
    <t>JOELHO 45 GRAUS, PVC, SERIE NORMAL, ESGOTO PREDIAL, DN 40 MM, JUNTA SOLDÁVEL, FORNECIDO E INSTALADO EM RAMAL DE DESCARGA OU RAMAL DE ESGOTO SANITÁRIO. AF_08/2022</t>
  </si>
  <si>
    <t>89732</t>
  </si>
  <si>
    <t>JOELHO 45 GRAUS, PVC, SERIE NORMAL, ESGOTO PREDIAL, DN 50 MM, JUNTA ELÁSTICA, FORNECIDO E INSTALADO EM RAMAL DE DESCARGA OU RAMAL DE ESGOTO SANITÁRIO. AF_08/2022</t>
  </si>
  <si>
    <t>89739</t>
  </si>
  <si>
    <t>JOELHO 45 GRAUS, PVC, SERIE NORMAL, ESGOTO PREDIAL, DN 75 MM, JUNTA ELÁSTICA, FORNECIDO E INSTALADO EM RAMAL DE DESCARGA OU RAMAL DE ESGOTO SANITÁRIO. AF_08/2022</t>
  </si>
  <si>
    <t>89746</t>
  </si>
  <si>
    <t>JOELHO 45 GRAUS, PVC, SERIE NORMAL, ESGOTO PREDIAL, DN 100 MM, JUNTA ELÁSTICA, FORNECIDO E INSTALADO EM RAMAL DE DESCARGA OU RAMAL DE ESGOTO SANITÁRIO. AF_08/2022</t>
  </si>
  <si>
    <t>89724</t>
  </si>
  <si>
    <t>JOELHO 90 GRAUS, PVC, SERIE NORMAL, ESGOTO PREDIAL, DN 40 MM, JUNTA SOLDÁVEL, FORNECIDO E INSTALADO EM RAMAL DE DESCARGA OU RAMAL DE ESGOTO SANITÁRIO. AF_08/2022</t>
  </si>
  <si>
    <t>89731</t>
  </si>
  <si>
    <t>JOELHO 90 GRAUS, PVC, SERIE NORMAL, ESGOTO PREDIAL, DN 50 MM, JUNTA ELÁSTICA, FORNECIDO E INSTALADO EM RAMAL DE DESCARGA OU RAMAL DE ESGOTO SANITÁRIO. AF_08/2022</t>
  </si>
  <si>
    <t>89737</t>
  </si>
  <si>
    <t>JOELHO 90 GRAUS, PVC, SERIE NORMAL, ESGOTO PREDIAL, DN 75 MM, JUNTA ELÁSTICA, FORNECIDO E INSTALADO EM RAMAL DE DESCARGA OU RAMAL DE ESGOTO SANITÁRIO. AF_08/2022</t>
  </si>
  <si>
    <t>89744</t>
  </si>
  <si>
    <t>JOELHO 90 GRAUS, PVC, SERIE NORMAL, ESGOTO PREDIAL, DN 100 MM, JUNTA ELÁSTICA, FORNECIDO E INSTALADO EM RAMAL DE DESCARGA OU RAMAL DE ESGOTO SANITÁRIO. AF_08/2022</t>
  </si>
  <si>
    <t>JUNÇÃO SIMPLES, PVC, SERIE NORMAL, ESGOTO PREDIAL, DN 40 X 40 MM, JUNTA ELÁSTICA, FORNECIDO E INSTALADO EM RAMAL DE DESCARGA OU RAMAL DE ESGOTO SANITÁRIO.</t>
  </si>
  <si>
    <t>89785</t>
  </si>
  <si>
    <t>JUNÇÃO SIMPLES, PVC, SERIE NORMAL, ESGOTO PREDIAL, DN 50 X 50 MM, JUNTA ELÁSTICA, FORNECIDO E INSTALADO EM RAMAL DE DESCARGA OU RAMAL DE ESGOTO SANITÁRIO. AF_08/2022</t>
  </si>
  <si>
    <t>104343</t>
  </si>
  <si>
    <t>JUNÇÃO DE REDUÇÃO INVERTIDA, PVC, SÉRIE NORMAL, ESGOTO PREDIAL, DN 75 X 50 MM, JUNTA ELÁSTICA, FORNECIDO E INSTALADO EM RAMAL DE DESCARGA OU RAMAL DE ESGOTO SANITÁRIO. AF_08/2022</t>
  </si>
  <si>
    <t>89797</t>
  </si>
  <si>
    <t>104346</t>
  </si>
  <si>
    <t>TE, PVC, SÉRIE NORMAL, ESGOTO PREDIAL, DN 100 X 75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</si>
  <si>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</si>
  <si>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89753</t>
  </si>
  <si>
    <t>LUVA SIMPLES, PVC, SERIE NORMAL, ESGOTO PREDIAL, DN 50 MM, JUNTA ELÁSTICA, FORNECIDO E INSTALADO EM RAMAL DE DESCARGA OU RAMAL DE ESGOTO SANITÁRIO. AF_08/2022</t>
  </si>
  <si>
    <t>89774</t>
  </si>
  <si>
    <t>LUVA SIMPLES, PVC, SERIE NORMAL, ESGOTO PREDIAL, DN 75 MM, JUNTA ELÁSTICA, FORNECIDO E INSTALADO EM RAMAL DE DESCARGA OU RAMAL DE ESGOTO SANITÁRIO. AF_08/2022</t>
  </si>
  <si>
    <t>89778</t>
  </si>
  <si>
    <t>LUVA SIMPLES, PVC, SERIE NORMAL, ESGOTO PREDIAL, DN 100 MM, JUNTA ELÁSTICA, FORNECIDO E INSTALADO EM RAMAL DE DESCARGA OU RAMAL DE ESGOTO SANITÁRIO. AF_08/2022</t>
  </si>
  <si>
    <t>89557</t>
  </si>
  <si>
    <t>REDUÇÃO EXCÊNTRICA, PVC, SERIE R, ÁGUA PLUVIAL, DN 100 X 75 MM, JUNTA ELÁSTICA, FORNECIDO E INSTALADO EM RAMAL DE ENCAMINHAMENTO. AF_06/2022</t>
  </si>
  <si>
    <t>104348</t>
  </si>
  <si>
    <t>TERMINAL DE VENTILAÇÃO, PVC, SÉRIE NORMAL, ESGOTO PREDIAL, DN 50 MM, JUNTA SOLDÁVEL, FORNECIDO E INSTALADO EM PRUMADA DE ESGOTO SANITÁRIO OU VENTILAÇÃO. AF_08/2022</t>
  </si>
  <si>
    <t>104351</t>
  </si>
  <si>
    <t>TERMINAL DE VENTILAÇÃO, PVC, SÉRIE NORMAL, ESGOTO PREDIAL, DN 75 MM, JUNTA SOLDÁVEL, FORNECIDO E INSTALADO EM PRUMADA DE ESGOTO SANITÁRIO OU VENTILAÇÃO. AF_08/2022</t>
  </si>
  <si>
    <t>89784</t>
  </si>
  <si>
    <t>TE, PVC, SERIE NORMAL, ESGOTO PREDIAL, DN 50 X 50 MM, JUNTA ELÁSTICA, FORNECIDO E INSTALADO EM RAMAL DE DESCARGA OU RAMAL DE ESGOTO SANITÁRIO. AF_08/2022</t>
  </si>
  <si>
    <t>89786</t>
  </si>
  <si>
    <t>TE, PVC, SERIE NORMAL, ESGOTO PREDIAL, DN 75 X 75 MM, JUNTA ELÁSTICA, FORNECIDO E INSTALADO EM RAMAL DE DESCARGA OU RAMAL DE ESGOTO SANITÁRIO. AF_08/2022</t>
  </si>
  <si>
    <t>104344</t>
  </si>
  <si>
    <t>TE, PVC, SÉRIE NORMAL, ESGOTO PREDIAL, DN 100 X 50 MM, JUNTA ELÁSTICA, FORNECIDO E INSTALADO EM RAMAL DE DESCARGA OU RAMAL DE ESGOTO SANITÁRIO. AF_08/2022</t>
  </si>
  <si>
    <t>89860</t>
  </si>
  <si>
    <t>TE, PVC, SERIE NORMAL, ESGOTO PREDIAL, DN 100 X 100 MM, JUNTA ELÁSTICA, FORNECIDO E INSTALADO EM SUBCOLETOR AÉREO DE ESGOTO SANITÁRIO. AF_08/2022</t>
  </si>
  <si>
    <t>104328</t>
  </si>
  <si>
    <t>CAIXA SIFONADA, COM GRELHA QUADRADA, PVC, DN 150 X 150 X 50 MM, JUNTA SOLDÁVEL, FORNECIDA E INSTALADA EM RAMAL DE DESCARGA OU EM RAMAL DE ESGOTO SANITÁRIO. AF_08/2022</t>
  </si>
  <si>
    <t>89708</t>
  </si>
  <si>
    <t>CAIXA SIFONADA, PVC, DN 150 X 185 X 75 MM, JUNTA ELÁSTICA, FORNECIDA E INSTALADA EM RAMAL DE DESCARGA OU EM RAMAL DE ESGOTO SANITÁRIO. AF_08/2022</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</si>
  <si>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</si>
  <si>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CP-98107.1</t>
  </si>
  <si>
    <t>CAIXA DE GORDURA SIMPLES (CAPACIDADE: 52 L), RETANGULAR, EM ALVENARIA COM BLOCOS DE CONCRETO, DIMENSÕES INTERNAS = 0,52 X 0,33  M, ALTURA INTERNA = 0,51 M.</t>
  </si>
  <si>
    <t>89710</t>
  </si>
  <si>
    <t>RALO SECO, PVC, DN 100 X 40 MM, JUNTA SOLDÁVEL, FORNECIDO E INSTALADO EM RAMAL DE DESCARGA OU EM RAMAL DE ESGOTO SANITÁRIO. AF_08/2022</t>
  </si>
  <si>
    <t>PROLONGAMENTO PARA CAIXA SIFONADA PVC 100X200MM</t>
  </si>
  <si>
    <t>98081</t>
  </si>
  <si>
    <t>SUMIDOURO RETANGULAR, EM ALVENARIA COM TIJOLOS CERÂMICOS MACIÇOS, DIMENSÕES INTERNAS: 1,6 X 5,8 X H=3,0 M, ÁREA DE INFILTRAÇÃO: 50 M² (PARA 20 CONTRIBUINTES). AF_12/2020</t>
  </si>
  <si>
    <t>98071</t>
  </si>
  <si>
    <t>TANQUE SÉPTICO RETANGULAR, EM ALVENARIA COM TIJOLOS CERÂMICOS MACIÇOS, DIMENSÕES INTERNAS: 1,6 X 4,6 X H=2,4 M, VOLUME ÚTIL: 14720 L (PARA 105 CONTRIBUINTES). AF_12/2020</t>
  </si>
  <si>
    <t>14</t>
  </si>
  <si>
    <t>89511</t>
  </si>
  <si>
    <t>TUBO PVC, SÉRIE R, ÁGUA PLUVIAL, DN 75 MM, FORNECIDO E INSTALADO EM RAMAL DE ENCAMINHAMENTO. AF_06/2022</t>
  </si>
  <si>
    <t>89512</t>
  </si>
  <si>
    <t>TUBO PVC, SÉRIE R, ÁGUA PLUVIAL, DN 100 MM, FORNECIDO E INSTALADO EM RAMAL DE ENCAMINHAMENTO. AF_06/2022</t>
  </si>
  <si>
    <t>90696</t>
  </si>
  <si>
    <t>TUBO DE PVC PARA REDE COLETORA DE ESGOTO DE PAREDE MACIÇA, DN 200 MM, JUNTA ELÁSTICA - FORNECIMENTO E ASSENTAMENTO. AF_01/2021</t>
  </si>
  <si>
    <t>CAIXA ENTERRADA ELÉTRICA RETANGULAR, EM CONCRETO PRÉ-MOLDADO, FUNDO COM BRITA, DIMENSÕES INTERNAS: 0,4X0,4X0,4 M. AF_12/2020</t>
  </si>
  <si>
    <t>RALO HEMISFÉRICO (FORMATO ABACAXI) DE FERRO FUNDIDO,  Ø100MM.</t>
  </si>
  <si>
    <t>JOELHO 45 GRAUS, PVC, SOLDÁVEL, DN 25MM, INSTALADO EM PRUMADA DE ÁGUA - FORNECIMENTO E INSTALAÇÃO. AF_06/2022</t>
  </si>
  <si>
    <t>15</t>
  </si>
  <si>
    <t>100860</t>
  </si>
  <si>
    <t>CHUVEIRO ELÉTRICO COMUM CORPO PLÁSTICO, TIPO DUCHA ? FORNECIMENTO E INSTALAÇÃO. AF_01/2020</t>
  </si>
  <si>
    <t>100848</t>
  </si>
  <si>
    <t>VASO SANITÁRIO INFANTIL LOUÇA BRANCA - FORNECIMENTO E INSTALACAO. AF_01/2020</t>
  </si>
  <si>
    <t>86931</t>
  </si>
  <si>
    <t>VASO SANITÁRIO SIFONADO COM CAIXA ACOPLADA LOUÇA BRANCA, INCLUSO ENGATE FLEXÍVEL EM PLÁSTICO BRANCO, 1/2  X 40CM - FORNECIMENTO E INSTALAÇÃO. AF_01/2020</t>
  </si>
  <si>
    <t>100849</t>
  </si>
  <si>
    <t>ASSENTO SANITÁRIO CONVENCIONAL - FORNECIMENTO E INSTALACAO. AF_01/2020</t>
  </si>
  <si>
    <t>86904</t>
  </si>
  <si>
    <t>LAVATÓRIO LOUÇA BRANCA SUSPENSO, 29,5 X 39CM OU EQUIVALENTE, PADRÃO POPULAR - FORNECIMENTO E INSTALAÇÃO. AF_01/2020</t>
  </si>
  <si>
    <t>86901</t>
  </si>
  <si>
    <t>CUBA DE EMBUTIR OVAL EM LOUÇA BRANCA, 35 X 50CM OU EQUIVALENTE - FORNECIMENTO E INSTALAÇÃO. AF_01/2020</t>
  </si>
  <si>
    <t>86903</t>
  </si>
  <si>
    <t>LAVATÓRIO LOUÇA BRANCA COM COLUNA, 45 X 55CM OU EQUIVALENTE, PADRÃO MÉDIO - FORNECIMENTO E INSTALAÇÃO. AF_01/2020</t>
  </si>
  <si>
    <t>86920</t>
  </si>
  <si>
    <t>TANQUE DE LOUÇA BRANCA COM COLUNA, 30L OU EQUIVALENTE, INCLUSO SIFÃO FLEXÍVEL EM PVC, VÁLVULA PLÁSTICA E TORNEIRA DE METAL CROMADO PADRÃO POPULAR - FORNECIMENTO E INSTALAÇÃO. AF_01/2020</t>
  </si>
  <si>
    <t>86936</t>
  </si>
  <si>
    <t>CUBA DE EMBUTIR DE AÇO INOXIDÁVEL MÉDIA, INCLUSO VÁLVULA TIPO AMERICANA E SIFÃO TIPO GARRAFA EM METAL CROMADO - FORNECIMENTO E INSTALAÇÃO. AF_01/2020</t>
  </si>
  <si>
    <t>86906</t>
  </si>
  <si>
    <t>TORNEIRA CROMADA DE MESA, 1/2? OU 3/4?, PARA LAVATÓRIO, PADRÃO POPULAR - FORNECIMENTO E INSTALAÇÃO. AF_01/2020</t>
  </si>
  <si>
    <t>86910</t>
  </si>
  <si>
    <t>TORNEIRA CROMADA TUBO MÓVEL, DE PAREDE, 1/2? OU 3/4?, PARA PIA DE COZINHA, PADRÃO MÉDIO - FORNECIMENTO E INSTALAÇÃO. AF_01/2020</t>
  </si>
  <si>
    <t>86909</t>
  </si>
  <si>
    <t>TORNEIRA CROMADA TUBO MÓVEL, DE MESA, 1/2? OU 3/4?, PARA PIA DE COZINHA, PADRÃO ALTO - FORNECIMENTO E INSTALAÇÃO. AF_01/2020</t>
  </si>
  <si>
    <t>TORNEIRA ELÉTRICA</t>
  </si>
  <si>
    <t>95544</t>
  </si>
  <si>
    <t>PAPELEIRA DE PAREDE EM METAL CROMADO SEM TAMPA, INCLUSO FIXAÇÃO.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</si>
  <si>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</si>
  <si>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</si>
  <si>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</si>
  <si>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</si>
  <si>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99857</t>
  </si>
  <si>
    <t>CORRIMÃO SIMPLES, DIÂMETRO EXTERNO = 1 1/2?, EM ALUMÍNIO. AF_04/2019_PS</t>
  </si>
  <si>
    <t>99837</t>
  </si>
  <si>
    <t>GUARDA-CORPO DE AÇO GALVANIZADO DE 1,10M, MONTANTES TUBULARES DE 1.1/4? ESPAÇADOS DE 1,20M, TRAVESSA SUPERIOR DE 1.1/2?, GRADIL FORMADO POR TUBOS HORIZONTAIS DE 1? E VERTICAIS DE 3/4?, FIXADO COM CHUMBADOR MECÂNICO. AF_04/2019_PS</t>
  </si>
  <si>
    <t>PORTA TOALHA PLÁSTICO PARA PAPEL TOALHA EM FOLHA</t>
  </si>
  <si>
    <t>95547</t>
  </si>
  <si>
    <t>SABONETEIRA PLASTICA TIPO DISPENSER PARA SABONETE LIQUIDO COM RESERVATORIO 800 A 1500 ML, INCLUSO FIXAÇÃO. AF_01/2020</t>
  </si>
  <si>
    <t>16</t>
  </si>
  <si>
    <t>92687</t>
  </si>
  <si>
    <t>TUBO DE AÇO GALVANIZADO COM COSTURA, CLASSE MÉDIA, CONEXÃO ROSQUEADA, DN 15 (1/2"), INSTALADO EM RAMAIS E SUB-RAMAIS DE GÁS - FORNECIMENTO E INSTALAÇÃO. AF_10/2020</t>
  </si>
  <si>
    <t>92688</t>
  </si>
  <si>
    <t>TUBO DE AÇO GALVANIZADO COM COSTURA, CLASSE MÉDIA, CONEXÃO ROSQUEADA, DN 20 (3/4"), INSTALADO EM RAMAIS E SUB-RAMAIS DE GÁS - FORNECIMENTO E INSTALAÇÃO. AF_10/2020</t>
  </si>
  <si>
    <t>92341</t>
  </si>
  <si>
    <t>TUBO DE AÇO GALVANIZADO COM COSTURA, CLASSE MÉDIA, DN 50 (2"), CONEXÃO ROSQUEADA, INSTALADO EM PRUMADAS - FORNECIMENTO E INSTALAÇÃO. AF_10/2020</t>
  </si>
  <si>
    <t>92701</t>
  </si>
  <si>
    <t>JOELHO 90 GRAUS, EM FERRO GALVANIZADO, CONEXÃO ROSQUEADA, DN 20 (3/4"), INSTALADO EM RAMAIS E SUB-RAMAIS DE GÁS - FORNECIMENTO E INSTALAÇÃO. AF_10/2020</t>
  </si>
  <si>
    <t>97553</t>
  </si>
  <si>
    <t>TÊ, EM AÇO, CONEXÃO SOLDADA, DN 20 (3/4"), INSTALADO EM RAMAIS E SUB-RAMAIS DE GÁS - FORNECIMENTO E INSTALAÇÃO. AF_10/2020</t>
  </si>
  <si>
    <t>CAP OU TAMPAO GALVANIZADO DIAM. 3/4"</t>
  </si>
  <si>
    <t>103823</t>
  </si>
  <si>
    <t>BUCHA DE REDUÇÃO EM COBRE, DN 22 MM X 15 MM, SEM ANEL DE SOLDA, PONTA X BOLSA,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</si>
  <si>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</si>
  <si>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</si>
  <si>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N�2001/EMOP</t>
  </si>
  <si>
    <t>CP-C1250</t>
  </si>
  <si>
    <t>ENVELOPE DE CONCRETO P/PROTEÇÃO DE TUBO PVC ENTERRADO</t>
  </si>
  <si>
    <t>17</t>
  </si>
  <si>
    <t>101909</t>
  </si>
  <si>
    <t>EXTINTOR DE INCÊNDIO PORTÁTIL COM CARGA DE PQS DE 6 KG, CLASSE BC - FORNECIMENTO E INSTALAÇÃO. AF_10/2020_PE</t>
  </si>
  <si>
    <t>101907</t>
  </si>
  <si>
    <t>EXTINTOR DE INCÊNDIO PORTÁTIL COM CARGA DE CO2 DE 6 KG, CLASSE BC - FORNECIMENTO E INSTALAÇÃO. AF_10/2020_PE</t>
  </si>
  <si>
    <t>97599</t>
  </si>
  <si>
    <t>LUMINÁRIA DE EMERGÊNCIA, COM 30 LÂMPADAS LED DE 2 W, SEM REATOR - FORNECIMENTO E INSTALAÇÃO. AF_02/2020</t>
  </si>
  <si>
    <t>CP-S12137.1</t>
  </si>
  <si>
    <t>PLACA DE SINALIZACAO DE SEGURANCA CONTRA INCENDIO, FOTOLUMINESCENTE, RETANGULAR, *13 X 26* CM, EM PVC *2* MM ANTI-CHAMAS (SIMBOLOS, CORES E PICTOGRAMAS CONFORME NBR 13434)</t>
  </si>
  <si>
    <t>96765</t>
  </si>
  <si>
    <t>ABRIGO PARA HIDRANTE, 90X60X17CM, COM REGISTRO GLOBO ANGULAR 45 GRAUS 2 1/2", ADAPTADOR STORZ 2 1/2", MANGUEIRA DE INCÊNDIO 20M, REDUÇÃO 2 1/2" X 1 1/2" E ESGUICHO EM LATÃO 1 1/2" - FORNECIMENTO E INSTALAÇÃO. AF_10/2020</t>
  </si>
  <si>
    <t>101916</t>
  </si>
  <si>
    <t>HIDRANTE SUBTERRÂNEO PREDIAL (COM CURVA LONGA E CAIXA), DN 75 MM - FORNECIMENTO E INSTALAÇÃO. AF_10/2020</t>
  </si>
  <si>
    <t>92364</t>
  </si>
  <si>
    <t>TUBO DE AÇO GALVANIZADO COM COSTURA, CLASSE MÉDIA, DN 32 (1 1/4"), CONEXÃO ROSQUEADA, INSTALADO EM REDE DE ALIMENTAÇÃO PARA HIDRANTE - FORNECIMENTO E INSTALAÇÃO. AF_10/2020</t>
  </si>
  <si>
    <t>92367</t>
  </si>
  <si>
    <t>TUBO DE AÇO GALVANIZADO COM COSTURA, CLASSE MÉDIA, DN 65 (2 1/2"), CONEXÃO ROSQUEADA, INSTALADO EM REDE DE ALIMENTAÇÃO PARA HIDRANTE - FORNECIMENTO E INSTALAÇÃO. AF_10/2020</t>
  </si>
  <si>
    <t>92383</t>
  </si>
  <si>
    <t>JOELHO 45 GRAUS, EM FERRO GALVANIZADO, DN 32 (1 1/4"), CONEXÃO ROSQUEADA, INSTALADO EM REDE DE ALIMENTAÇÃO PARA HIDRANTE - FORNECIMENTO E INSTALAÇÃO. AF_10/2020</t>
  </si>
  <si>
    <t>103019</t>
  </si>
  <si>
    <t>REGISTRO OU VÁLVULA GLOBO ANGULAR EM LATÃO, PARA HIDRANTES EM INSTALAÇÃO PREDIAL DE INCÊNDIO, 45 GRAUS, 2 1/2" - FORNECIMENTO E INSTALAÇÃO. AF_08/2021</t>
  </si>
  <si>
    <t>92642</t>
  </si>
  <si>
    <t>TÊ, EM FERRO GALVANIZADO, CONEXÃO ROSQUEADA, DN 65 (2 1/2"), INSTALADO EM REDE DE ALIMENTAÇÃO PARA HIDRANTE - FORNECIMENTO E INSTALAÇÃO. AF_10/2020</t>
  </si>
  <si>
    <t>SIRENE AUDIO VISUAL,PARA SISTEMA DE ALARME CONTRA INCENDIO.FORNECIMENTO E COLOCACAO</t>
  </si>
  <si>
    <t>ACIONADOR TIPO "QUEBRE VIDRO",INCLUSIVE SENSOR DE ALARME E CHAVE EXTERNA PARA TESTE.FORNECIMENTO E COLOCACAO</t>
  </si>
  <si>
    <t>BOMBA RECALQUE D'AGUA DE ESTAGIOS TRIFASICA 2,0 HP</t>
  </si>
  <si>
    <t>103015</t>
  </si>
  <si>
    <t>VÁLVULA DE RETENÇÃO, DE BRONZE, PÉ COM CRIVOS, ROSCÁVEL, 2 1/2" - FORNECIMENTO E INSTALAÇÃO. AF_08/2021</t>
  </si>
  <si>
    <t>18</t>
  </si>
  <si>
    <t>101876</t>
  </si>
  <si>
    <t>QUADRO DE DISTRIBUIÇÃO DE ENERGIA EM PVC, DE EMBUTIR, SEM BARRAMENTO, PARA 6 DISJUNTORES - FORNECIMENTO E INSTALAÇÃO. AF_10/2020</t>
  </si>
  <si>
    <t>101875</t>
  </si>
  <si>
    <t>QUADRO DE DISTRIBUIÇÃO DE ENERGIA EM CHAPA DE AÇO GALVANIZADO, DE EMBUTIR, COM BARRAMENTO TRIFÁSICO, PARA 12 DISJUNTORES DIN 100A - FORNECIMENTO E INSTALAÇÃO. AF_10/2020</t>
  </si>
  <si>
    <t>101882</t>
  </si>
  <si>
    <t>QUADRO DE DISTRIBUIÇÃO DE ENERGIA EM CHAPA DE AÇO GALVANIZADO, DE EMBUTIR, COM BARRAMENTO TRIFÁSICO, PARA 30 DISJUNTORES DIN 225A - FORNECIMENTO E INSTALAÇÃO. AF_10/2020</t>
  </si>
  <si>
    <t>101881</t>
  </si>
  <si>
    <t>QUADRO DE DISTRIBUIÇÃO DE ENERGIA EM CHAPA DE AÇO GALVANIZADO, DE EMBUTIR, COM BARRAMENTO TRIFÁSICO, PARA 40 DISJUNTORES DIN 100A - FORNECIMENTO E INSTALAÇÃO. AF_10/2020</t>
  </si>
  <si>
    <t>SUBESTACAO SIMPLIFICADA PADRAO ENEL,COM TRANSFORMADOR TRIFASICO DE 112,5KVA,INCLUSIVE MEDICAO,POSTE E TODOS OS MATERIAISELETRICOS NECESSARIOS</t>
  </si>
  <si>
    <t>DISPOSITIVO DE PROTEÇÃO CONTRA SURTOS DE TENSÃO - DPS'S CLASSE II - *45* KA/460V</t>
  </si>
  <si>
    <t>CP-S09969.1</t>
  </si>
  <si>
    <t>93653</t>
  </si>
  <si>
    <t>DISJUNTOR MONOPOLAR TIPO DIN, CORRENTE NOMINAL DE 10A - FORNECIMENTO E INSTALAÇÃO. AF_10/2020</t>
  </si>
  <si>
    <t>93654</t>
  </si>
  <si>
    <t>DISJUNTOR MONOPOLAR TIPO DIN, CORRENTE NOMINAL DE 16A - FORNECIMENTO E INSTALAÇÃO. AF_10/2020</t>
  </si>
  <si>
    <t>93655</t>
  </si>
  <si>
    <t>DISJUNTOR MONOPOLAR TIPO DIN, CORRENTE NOMINAL DE 20A - FORNECIMENTO E INSTALAÇÃO. AF_10/2020</t>
  </si>
  <si>
    <t>93658</t>
  </si>
  <si>
    <t>DISJUNTOR MONOPOLAR TIPO DIN, CORRENTE NOMINAL DE 40A - FORNECIMENTO E INSTALAÇÃO. AF_10/2020</t>
  </si>
  <si>
    <t>93667</t>
  </si>
  <si>
    <t>DISJUNTOR TRIPOLAR TIPO DIN, CORRENTE NOMINAL DE 10A - FORNECIMENTO E INSTALAÇÃO. AF_10/2020</t>
  </si>
  <si>
    <t>93669</t>
  </si>
  <si>
    <t>DISJUNTOR TRIPOLAR TIPO DIN, CORRENTE NOMINAL DE 20A - FORNECIMENTO E INSTALAÇÃO. AF_10/2020</t>
  </si>
  <si>
    <t>93671</t>
  </si>
  <si>
    <t>DISJUNTOR TRIPOLAR TIPO DIN, CORRENTE NOMINAL DE 32A - FORNECIMENTO E INSTALAÇÃO. AF_10/2020</t>
  </si>
  <si>
    <t>93672</t>
  </si>
  <si>
    <t>DISJUNTOR TRIPOLAR TIPO DIN, CORRENTE NOMINAL DE 40A - FORNECIMENTO E INSTALAÇÃO. AF_10/2020</t>
  </si>
  <si>
    <t>101898</t>
  </si>
  <si>
    <t>DISJUNTOR TERMOMAGNÉTICO TRIPOLAR , CORRENTE NOMINAL DE 400A - FORNECIMENTO E INSTALAÇÃO. AF_10/2020</t>
  </si>
  <si>
    <t>91834</t>
  </si>
  <si>
    <t>ELETRODUTO FLEXÍVEL CORRUGADO, PVC, DN 25 MM (3/4"), PARA CIRCUITOS TERMINAIS, INSTALADO EM FORRO - FORNECIMENTO E INSTALAÇÃO. AF_03/2023</t>
  </si>
  <si>
    <t>91840</t>
  </si>
  <si>
    <t>ELETRODUTO FLEXÍVEL CORRUGADO, PEAD, DN 40 MM (1 1/4"), PARA CIRCUITOS TERMINAIS, INSTALADO EM FORRO - FORNECIMENTO E INSTALAÇÃO. AF_03/2023</t>
  </si>
  <si>
    <t>97667</t>
  </si>
  <si>
    <t>ELETRODUTO FLEXÍVEL CORRUGADO, PEAD, DN 50 (1 1/2"), PARA REDE ENTERRADA DE DISTRIBUIÇÃO DE ENERGIA ELÉTRICA - FORNECIMENTO E INSTALAÇÃO. AF_12/2021</t>
  </si>
  <si>
    <t>91863</t>
  </si>
  <si>
    <t>ELETRODUTO RÍGIDO ROSCÁVEL, PVC, DN 25 MM (3/4"), PARA CIRCUITOS TERMINAIS, INSTALADO EM FORRO - FORNECIMENTO E INSTALAÇÃO. AF_03/2023</t>
  </si>
  <si>
    <t>91865</t>
  </si>
  <si>
    <t>ELETRODUTO RÍGIDO ROSCÁVEL, PVC, DN 40 MM (1 1/4"), PARA CIRCUITOS TERMINAIS, INSTALADO EM FORRO - FORNECIMENTO E INSTALAÇÃO. AF_03/2023</t>
  </si>
  <si>
    <t>91940</t>
  </si>
  <si>
    <t>CAIXA RETANGULAR 4" X 2" MÉDIA (1,30 M DO PISO), PVC, INSTALADA EM PAREDE - FORNECIMENTO E INSTALAÇÃO. AF_03/2023</t>
  </si>
  <si>
    <t>91936</t>
  </si>
  <si>
    <t>CAIXA OCTOGONAL 4" X 4", PVC, INSTALADA EM LAJE - FORNECIMENTO E INSTALAÇÃO. AF_03/2023</t>
  </si>
  <si>
    <t>91890</t>
  </si>
  <si>
    <t>CURVA 90 GRAUS PARA ELETRODUTO, PVC, ROSCÁVEL, DN 25 MM (3/4"), PARA CIRCUITOS TERMINAIS, INSTALADA EM FORRO - FORNECIMENTO E INSTALAÇÃO. AF_03/2023</t>
  </si>
  <si>
    <t>91896</t>
  </si>
  <si>
    <t>CURVA 90 GRAUS PARA ELETRODUTO, PVC, ROSCÁVEL, DN 40 MM (1 1/4"), PARA CIRCUITOS TERMINAIS, INSTALADA EM FORRO - FORNECIMENTO E INSTALAÇÃO. AF_03/2023</t>
  </si>
  <si>
    <t>91875</t>
  </si>
  <si>
    <t>LUVA PARA ELETRODUTO, PVC, ROSCÁVEL, DN 25 MM (3/4"), PARA CIRCUITOS TERMINAIS, INSTALADA EM FORRO - FORNECIMENTO E INSTALAÇÃO. AF_03/2023</t>
  </si>
  <si>
    <t>91877</t>
  </si>
  <si>
    <t>LUVA PARA ELETRODUTO, PVC, ROSCÁVEL, DN 40 MM (1 1/4"), PARA CIRCUITOS TERMINAIS, INSTALADA EM FORRO - FORNECIMENTO E INSTALAÇÃO. AF_03/2023</t>
  </si>
  <si>
    <t>91924</t>
  </si>
  <si>
    <t>CABO DE COBRE FLEXÍVEL ISOLADO, 1,5 MM², ANTI-CHAMA 450/750 V, PARA CIRCUITOS TERMINAIS - FORNECIMENTO E INSTALAÇÃO. AF_03/2023</t>
  </si>
  <si>
    <t>91926</t>
  </si>
  <si>
    <t>CABO DE COBRE FLEXÍVEL ISOLADO, 2,5 MM², ANTI-CHAMA 450/750 V, PARA CIRCUITOS TERMINAIS - FORNECIMENTO E INSTALAÇÃO. AF_03/2023</t>
  </si>
  <si>
    <t>91928</t>
  </si>
  <si>
    <t>CABO DE COBRE FLEXÍVEL ISOLADO, 4 MM², ANTI-CHAMA 450/750 V, PARA CIRCUITOS TERMINAIS - FORNECIMENTO E INSTALAÇÃO. AF_03/2023</t>
  </si>
  <si>
    <t>91930</t>
  </si>
  <si>
    <t>CABO DE COBRE FLEXÍVEL ISOLADO, 6 MM², ANTI-CHAMA 450/750 V, PARA CIRCUITOS TERMINAIS - FORNECIMENTO E INSTALAÇÃO. AF_03/2023</t>
  </si>
  <si>
    <t>91932</t>
  </si>
  <si>
    <t>CABO DE COBRE FLEXÍVEL ISOLADO, 10 MM², ANTI-CHAMA 450/750 V, PARA CIRCUITOS TERMINAIS - FORNECIMENTO E INSTALAÇÃO. AF_03/2023</t>
  </si>
  <si>
    <t>91934</t>
  </si>
  <si>
    <t>CABO DE COBRE FLEXÍVEL ISOLADO, 16 MM², ANTI-CHAMA 450/750 V, PARA CIRCUITOS TERMINAIS - FORNECIMENTO E INSTALAÇÃO. AF_03/2023</t>
  </si>
  <si>
    <t>92984</t>
  </si>
  <si>
    <t>CABO DE COBRE FLEXÍVEL ISOLADO, 25 MM², ANTI-CHAMA 0,6/1,0 KV, PARA REDE ENTERRADA DE DISTRIBUIÇÃO DE ENERGIA ELÉTRICA - FORNECIMENTO E INSTALAÇÃO. AF_12/2021</t>
  </si>
  <si>
    <t>92986</t>
  </si>
  <si>
    <t>CABO DE COBRE FLEXÍVEL ISOLADO, 35 MM², ANTI-CHAMA 0,6/1,0 KV, PARA REDE ENTERRADA DE DISTRIBUIÇÃO DE ENERGIA ELÉTRICA - FORNECIMENTO E INSTALAÇÃO. AF_12/2021</t>
  </si>
  <si>
    <t>92988</t>
  </si>
  <si>
    <t>CABO DE COBRE FLEXÍVEL ISOLADO, 50 MM², ANTI-CHAMA 0,6/1,0 KV, PARA REDE ENTERRADA DE DISTRIBUIÇÃO DE ENERGIA ELÉTRICA - FORNECIMENTO E INSTALAÇÃO. AF_12/2021</t>
  </si>
  <si>
    <t>92994</t>
  </si>
  <si>
    <t>CABO DE COBRE FLEXÍVEL ISOLADO, 120 MM², ANTI-CHAMA 0,6/1,0 KV, PARA REDE ENTERRADA DE DISTRIBUIÇÃO DE ENERGIA ELÉTRICA - FORNECIMENTO E INSTALAÇÃO. AF_12/2021</t>
  </si>
  <si>
    <t>93000</t>
  </si>
  <si>
    <t>CABO DE COBRE FLEXÍVEL ISOLADO, 240 MM², ANTI-CHAMA 0,6/1,0 KV, PARA REDE ENTERRADA DE DISTRIBUIÇÃO DE ENERGIA ELÉTRICA - FORNECIMENTO E INSTALAÇÃO. AF_12/2021</t>
  </si>
  <si>
    <t>91992</t>
  </si>
  <si>
    <t>TOMADA ALTA DE EMBUTIR (1 MÓDULO), 2P+T 10 A, INCLUINDO SUPORTE E PLACA - FORNECIMENTO E INSTALAÇÃO. AF_03/2023</t>
  </si>
  <si>
    <t>91996</t>
  </si>
  <si>
    <t>TOMADA MÉDIA DE EMBUTIR (1 MÓDULO), 2P+T 10 A, INCLUINDO SUPORTE E PLACA - FORNECIMENTO E INSTALAÇÃO. AF_03/2023</t>
  </si>
  <si>
    <t>92000</t>
  </si>
  <si>
    <t>TOMADA BAIXA DE EMBUTIR (1 MÓDULO), 2P+T 10 A, INCLUINDO SUPORTE E PLACA - FORNECIMENTO E INSTALAÇÃO. AF_03/2023</t>
  </si>
  <si>
    <t>91993</t>
  </si>
  <si>
    <t>TOMADA ALTA DE EMBUTIR (1 MÓDULO), 2P+T 20 A, INCLUINDO SUPORTE E PLACA - FORNECIMENTO E INSTALAÇÃO. AF_03/2023</t>
  </si>
  <si>
    <t>91997</t>
  </si>
  <si>
    <t>TOMADA MÉDIA DE EMBUTIR (1 MÓDULO), 2P+T 20 A, INCLUINDO SUPORTE E PLACA - FORNECIMENTO E INSTALAÇÃO. AF_03/2023</t>
  </si>
  <si>
    <t>92004</t>
  </si>
  <si>
    <t>TOMADA MÉDIA DE EMBUTIR (2 MÓDULOS), 2P+T 10 A, INCLUINDO SUPORTE E PLACA - FORNECIMENTO E INSTALAÇÃO. AF_03/2023</t>
  </si>
  <si>
    <t>92008</t>
  </si>
  <si>
    <t>TOMADA BAIXA DE EMBUTIR (2 MÓDULOS), 2P+T 10 A, INCLUINDO SUPORTE E PLACA - FORNECIMENTO E INSTALAÇÃO. AF_03/2023</t>
  </si>
  <si>
    <t>92023</t>
  </si>
  <si>
    <t>INTERRUPTOR SIMPLES (1 MÓDULO) COM 1 TOMADA DE EMBUTIR 2P+T 10 A, INCLUINDO SUPORTE E PLACA - FORNECIMENTO E INSTALAÇÃO. AF_03/2023</t>
  </si>
  <si>
    <t>92029</t>
  </si>
  <si>
    <t>INTERRUPTOR PARALELO (1 MÓDULO) COM 1 TOMADA DE EMBUTIR 2P+T 10 A, INCLUINDO SUPORTE E PLACA - FORNECIMENTO E INSTALAÇÃO. AF_03/2023</t>
  </si>
  <si>
    <t>92027</t>
  </si>
  <si>
    <t>INTERRUPTOR SIMPLES (2 MÓDULOS) COM 1 TOMADA DE EMBUTIR 2P+T 10 A, INCLUINDO SUPORTE E PLACA - FORNECIMENTO E INSTALAÇÃO. AF_03/2023</t>
  </si>
  <si>
    <t>97607</t>
  </si>
  <si>
    <t>LUMINÁRIA ARANDELA TIPO TARTARUGA, DE SOBREPOR, COM 1 LÂMPADA LED DE 6 W, SEM REATOR - FORNECIMENTO E INSTALAÇÃO. AF_02/2020</t>
  </si>
  <si>
    <t>LUMINARIA DE SOBREPOR, FIXADA EM LAJE OU FORRO, TIPO CALHA, CHANFRADA OU PRISMATICA, COMPLETA, COM LAMPADA LED TUBULAR  DE 2 X 18W. FORNECIMENTO E COLOCACAO</t>
  </si>
  <si>
    <t>103782</t>
  </si>
  <si>
    <t>LUMINÁRIA TIPO PLAFON CIRCULAR, DE SOBREPOR, COM LED DE 12/13 W - FORNECIMENTO E INSTALAÇÃO. AF_03/2022</t>
  </si>
  <si>
    <t>LUMINARIA LED REFLETOR RETANGULAR BIVOLT, LUZ BRANCA, 50 W - FORNECIMENTO E INSTALAÇÃO. AF_08/2020</t>
  </si>
  <si>
    <t>19</t>
  </si>
  <si>
    <t>98305</t>
  </si>
  <si>
    <t>RACK FECHADO PARA SERVIDOR - FORNECIMENTO E INSTALAÇÃO. AF_11/2019</t>
  </si>
  <si>
    <t>98301</t>
  </si>
  <si>
    <t>PATCH PANEL 24 PORTAS, CATEGORIA 5E - FORNECIMENTO E INSTALAÇÃO. AF_11/2019</t>
  </si>
  <si>
    <t>CABO LÓGICO 4 PARES, CATEGORIA 6 - UTP</t>
  </si>
  <si>
    <t>CABO COAXIAL RG6 95% - FORNECIMENTO E INSTALAÇÃO. AF_11/2019</t>
  </si>
  <si>
    <t>98307</t>
  </si>
  <si>
    <t>TOMADA DE REDE RJ45 - FORNECIMENTO E INSTALAÇÃO. AF_11/2019</t>
  </si>
  <si>
    <t>15.019.0110-0</t>
  </si>
  <si>
    <t>TOMADA COAXIAL,DE EMBUTIR,COMPLETA,PARA ANTENA DE TV.FORNECIMENTO E COLOCACAO</t>
  </si>
  <si>
    <t>93008</t>
  </si>
  <si>
    <t>ELETRODUTO RÍGIDO ROSCÁVEL, PVC, DN 50 MM (1 1/2"), PARA REDE ENTERRADA DE DISTRIBUIÇÃO DE ENERGIA ELÉTRICA - FORNECIMENTO E INSTALAÇÃO. AF_12/2021</t>
  </si>
  <si>
    <t>ELETROCALHA LISA,COM TAMPA,TIPO "U",100X100MM,TRATAMENTO SUPERFICIAL PRE-ZINCADO A QUENTE,INCLUSIVE CONEXOES,ACESSORIOS E FIXACAO SUPERIOR.FORNECIMENTO E COLOCACAO</t>
  </si>
  <si>
    <t>20</t>
  </si>
  <si>
    <t>96989</t>
  </si>
  <si>
    <t>CAPTOR TIPO FRANKLIN PARA SPDA - FORNECIMENTO E INSTALAÇÃO. AF_08/2023</t>
  </si>
  <si>
    <t>96985</t>
  </si>
  <si>
    <t>HASTE DE ATERRAMENTO, DIÂMETRO 5/8", COM 3 METROS - FORNECIMENTO E INSTALAÇÃO. AF_08/2023</t>
  </si>
  <si>
    <t>42.01.090</t>
  </si>
  <si>
    <t>CPOS</t>
  </si>
  <si>
    <t>MINICAPTOR, EM ACO GALVANIZADO A FOGO, FIXACAO HORIZONTAL DE 1 FUROS, SEM BANDEIRA, H=300 MM X DN=10 MM</t>
  </si>
  <si>
    <t>96973</t>
  </si>
  <si>
    <t>CORDOALHA DE COBRE NU 35 MM², NÃO ENTERRADA, COM ISOLADOR - FORNECIMENTO E INSTALAÇÃO. AF_08/2023</t>
  </si>
  <si>
    <t>96974</t>
  </si>
  <si>
    <t>CORDOALHA DE COBRE NU 50 MM², NÃO ENTERRADA, COM ISOLADOR - FORNECIMENTO E INSTALAÇÃO. AF_08/2023</t>
  </si>
  <si>
    <t>98111</t>
  </si>
  <si>
    <t>CAIXA DE INSPEÇÃO PARA ATERRAMENTO, CIRCULAR, EM POLIETILENO, DIÂMETRO INTERNO = 0,3 M. AF_12/2020</t>
  </si>
  <si>
    <t>83627</t>
  </si>
  <si>
    <t>TAMPAO FOFO ARTICULADO, CLASSE B125 CARGA MAX 12,5 T, REDONDO TAMPA 600 MM, REDE PLUVIAL/ESGOTO, P = CHAMINE CX AREIA / POCO VISITA ASSENTADO COM ARG CIM/AREIA 1:4, FORNECIMENTO E ASSENTAMENTO</t>
  </si>
  <si>
    <t>ABRACADEIRA DE FIXACAO,TIPO COPO,ESTAMPADA EM CHAPA DE FERRO ZINCADA,COMPOSTA DE CANOPLA,PARAFUSOS E ABRACADEIRAS PROPRIAMENTE DITA,NO DIAMETRO 1".FORNECIMENTO E COLOCACAO</t>
  </si>
  <si>
    <t>95818</t>
  </si>
  <si>
    <t>CONDULETE DE PVC, TIPO X, PARA ELETRODUTO DE PVC SOLDÁVEL DN 32 MM (1''), APARENTE - FORNECIMENTO E INSTALAÇÃO. AF_10/2022</t>
  </si>
  <si>
    <t>CONECTOR MECANICO PARAFUSO FENDIDO(SPLIT-BOLT),CORPO E PORCA FABRICADO EM COBRE,PARA CABO DE 16MM2.FORNECIMENTO E COLOCACAO</t>
  </si>
  <si>
    <t>CONECTOR MECANICO PARAFUSO FENDIDO(SPLIT-BOLT),CORPO E PORCA FABRICADO EM COBRE,PARA CABO DE 35MM2.FORNECIMENTO E COLOCACAO</t>
  </si>
  <si>
    <t>CONECTOR MECANICO PARAFUSO FENDIDO(SPLIT-BOLT),CORPO E PORCA FABRICADO EM COBRE,PARA CABO DE 50MM2.FORNECIMENTO E COLOCACAO</t>
  </si>
  <si>
    <t>TERMINAL MECANICO A COMPRESSAO,FABRICADO EM BRONZE,PARA CABO DE 35MM2.FORNECIMENTO E COLOCACAO</t>
  </si>
  <si>
    <t>91872</t>
  </si>
  <si>
    <t>ELETRODUTO RÍGIDO ROSCÁVEL, PVC, DN 32 MM (1"), PARA CIRCUITOS TERMINAIS, INSTALADO EM PAREDE - FORNECIMENTO E INSTALAÇÃO. AF_03/2023</t>
  </si>
  <si>
    <t>21</t>
  </si>
  <si>
    <t>COIFA DE ACO INOXIDAVEL,DE 1,20X0,60M,DE CHAPA 18.304,INCLUSIVE 1,50M DE DUTO COM 310X120MM DE SECAO,EM CHAPA 22,2 EXAUSTORES CENTRIFUGOS TIPO CARAMUJO,EM CHAPA DE ACO CARBONO 1020COM MOTOR 1/3CV NAS TENSOES 110/220V. FORNECIMENTO E COLOCACAO</t>
  </si>
  <si>
    <t>EXAUSTOR TUBO AXIAL,ACIONAMENTO DIRETO,DIAMETRO DE 400MM,HELICE DE 6 PALETAS,FABRICADA EM CHAPA DE ACO CARBONO.FORNECIMENTO E COLOCACAO</t>
  </si>
  <si>
    <t>22</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</si>
  <si>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</si>
  <si>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</si>
  <si>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</si>
  <si>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</si>
  <si>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23</t>
  </si>
  <si>
    <t>101965</t>
  </si>
  <si>
    <t>PEITORIL LINEAR EM GRANITO OU MÁRMORE, L = 15CM, COMPRIMENTO DE ATÉ 2M, ASSENTADO COM ARGAMASSA 1:6 COM ADITIVO. AF_11/2020</t>
  </si>
  <si>
    <t>24</t>
  </si>
  <si>
    <t>103800</t>
  </si>
  <si>
    <t>PEDRA ARGAMASSADA COM CIMENTO E AREIA 1:3, 40% DE ARGAMASSA EM VOLUME - AREIA E PEDRA DE MÃO COMERCIAIS - FORNECIMENTO E ASSENTAMENTO. AF_08/2022</t>
  </si>
  <si>
    <t>96533</t>
  </si>
  <si>
    <t>FABRICAÇÃO, MONTAGEM E DESMONTAGEM DE FÔRMA PARA VIGA BALDRAME, EM MADEIRA SERRADA, E=25 MM, 2 UTILIZAÇÕES. AF_06/2017</t>
  </si>
  <si>
    <t>96543</t>
  </si>
  <si>
    <t>ARMAÇÃO DE BLOCO, VIGA BALDRAME E SAPATA UTILIZANDO AÇO CA-60 DE 5 MM - MONTAGEM. AF_06/2017</t>
  </si>
  <si>
    <t>92413</t>
  </si>
  <si>
    <t>MONTAGEM E DESMONTAGEM DE FÔRMA DE PILARES RETANGULARES E ESTRUTURAS SIMILARES, PÉ-DIREITO SIMPLES, EM MADEIRA SERRADA, 4 UTILIZAÇÕES. AF_09/2020</t>
  </si>
  <si>
    <t>92759</t>
  </si>
  <si>
    <t>ARMAÇÃO DE PILAR OU VIGA DE ESTRUTURA CONVENCIONAL DE CONCRETO ARMADO UTILIZANDO AÇO CA-60 DE 5,0 MM - MONTAGEM. AF_06/2022</t>
  </si>
  <si>
    <t>92762</t>
  </si>
  <si>
    <t>ARMAÇÃO DE PILAR OU VIGA DE ESTRUTURA CONVENCIONAL DE CONCRETO ARMADO UTILIZANDO AÇO CA-50 DE 10,0 MM - MONTAGEM. AF_06/2022</t>
  </si>
  <si>
    <t>93205</t>
  </si>
  <si>
    <t>CINTA DE AMARRAÇÃO DE ALVENARIA MOLDADA IN LOCO COM UTILIZAÇÃO DE BLOCOS CANALETA. AF_03/2016</t>
  </si>
  <si>
    <t>88415</t>
  </si>
  <si>
    <t>APLICAÇÃO MANUAL DE FUNDO SELADOR ACRÍLICO EM PAREDES EXTERNAS DE CASAS. AF_06/2014</t>
  </si>
  <si>
    <t>25</t>
  </si>
  <si>
    <t>90777</t>
  </si>
  <si>
    <t>ENGENHEIRO CIVIL DE OBRA JUNIOR COM ENCARGOS COMPLEMENTARES</t>
  </si>
  <si>
    <t>H</t>
  </si>
  <si>
    <t>90776</t>
  </si>
  <si>
    <t>ENCARREGADO GERAL COM ENCARGOS COMPLEMENTARES</t>
  </si>
  <si>
    <t>88326</t>
  </si>
  <si>
    <t>VIGIA NOTURNO COM ENCARGOS COMPLEMENTARES</t>
  </si>
  <si>
    <t>100309</t>
  </si>
  <si>
    <t>MES</t>
  </si>
  <si>
    <t>26</t>
  </si>
  <si>
    <t>99803</t>
  </si>
  <si>
    <t>LIMPEZA DE PISO CERÂMICO OU PORCELANATO COM PANO ÚMIDO. AF_04/2019</t>
  </si>
  <si>
    <t>99806</t>
  </si>
  <si>
    <t>LIMPEZA DE REVESTIMENTO CERÂMICO EM PAREDE COM PANO ÚMIDO AF_04/2019</t>
  </si>
  <si>
    <t>VALOR BDI TOTAL:</t>
  </si>
  <si>
    <t>VALOR ORÇAMENTO:</t>
  </si>
  <si>
    <t>VALOR TOTAL:</t>
  </si>
  <si>
    <t>CP-74209/001 PLACA DE OBRA EM CHAPA DE ACO GALVANIZADO (M2)</t>
  </si>
  <si>
    <t>Material</t>
  </si>
  <si>
    <t>FONTE</t>
  </si>
  <si>
    <t>UNID</t>
  </si>
  <si>
    <t>COEFICIENTE</t>
  </si>
  <si>
    <t>PREÇO UNITÁRIO</t>
  </si>
  <si>
    <t>TOTAL</t>
  </si>
  <si>
    <t>00004813</t>
  </si>
  <si>
    <t>PLACA DE OBRA (PARA CONSTRUCAO CIVIL) EM CHAPA GALVANIZADA *N. 22*, ADESIVADA, DE *2,4 X 1,2* M (SEM POSTES PARA FIXACAO)</t>
  </si>
  <si>
    <t>00004491</t>
  </si>
  <si>
    <t>PONTALETE *7,5 X 7,5* CM EM PINUS, MISTA OU EQUIVALENTE DA REGIAO - BRUTA</t>
  </si>
  <si>
    <t>00005075</t>
  </si>
  <si>
    <t>PREGO DE ACO POLIDO COM CABECA 18 X 30 (2 3/4 X 10)</t>
  </si>
  <si>
    <t>00004417</t>
  </si>
  <si>
    <t>SARRAFO NAO APARELHADO *2,5 X 7* CM, EM MACARANDUBA/MASSARANDUBA, ANGELIM, PEROBA-ROSA OU EQUIVALENTE DA REGIAO - BRUTA</t>
  </si>
  <si>
    <t>TOTAL Material:</t>
  </si>
  <si>
    <t>Mão de Obra com Encargos Complementares</t>
  </si>
  <si>
    <t>88262</t>
  </si>
  <si>
    <t>CARPINTEIRO DE FORMAS COM ENCARGOS COMPLEMENTARES</t>
  </si>
  <si>
    <t>88316</t>
  </si>
  <si>
    <t>SERVENTE COM ENCARGOS COMPLEMENTARES</t>
  </si>
  <si>
    <t>TOTAL Mão de Obra com Encargos Complementares:</t>
  </si>
  <si>
    <t>Serviço</t>
  </si>
  <si>
    <t>94962</t>
  </si>
  <si>
    <t>CONCRETO MAGRO PARA LASTRO, TRAÇO 1:4,5:4,5 (EM MASSA SECA DE CIMENTO/ AREIA MÉDIA/ BRITA 1) - PREPARO MECÂNICO COM BETONEIRA 400 L. AF_05/2021</t>
  </si>
  <si>
    <t>TOTAL Serviço:</t>
  </si>
  <si>
    <t>VALOR:</t>
  </si>
  <si>
    <t>CP-41598 ENTRADA PROVISORIA DE ENERGIA ELETRICA AEREA TRIFASICA 40A EM POSTE MADEIRA (UN)</t>
  </si>
  <si>
    <t>00001096</t>
  </si>
  <si>
    <t>ARMACAO VERTICAL COM HASTE E CONTRA-PINO, EM CHAPA DE ACO GALVANIZADO 3/16", COM 4 ESTRIBOS E 4 ISOLADORES</t>
  </si>
  <si>
    <t>00039210</t>
  </si>
  <si>
    <t>ARRUELA EM ALUMINIO, COM ROSCA, DE 1", PARA ELETRODUTO</t>
  </si>
  <si>
    <t>00011267</t>
  </si>
  <si>
    <t>ARRUELA LISA, REDONDA, DE LATAO POLIDO, DIAMETRO NOMINAL 5/8", DIAMETRO EXTERNO = 34 MM, DIAMETRO DO FURO = 17 MM, ESPESSURA = *2,5* MM</t>
  </si>
  <si>
    <t>00039176</t>
  </si>
  <si>
    <t>BUCHA EM ALUMINIO, COM ROSCA, DE 1", PARA ELETRODUTO</t>
  </si>
  <si>
    <t>00000857</t>
  </si>
  <si>
    <t>CABO DE COBRE NU 16 MM2 MEIO-DURO</t>
  </si>
  <si>
    <t>00001062</t>
  </si>
  <si>
    <t>CAIXA INTERNA/EXTERNA DE MEDICAO PARA 1 MEDIDOR TRIFASICO, COM VISOR, EM CHAPA DE ACO 18 USG (PADRAO DA CONCESSIONARIA LOCAL)</t>
  </si>
  <si>
    <t>00000420</t>
  </si>
  <si>
    <t>CINTA CIRCULAR EM ACO GALVANIZADO DE 150 MM DE DIAMETRO PARA FIXACAO DE CAIXA MEDICAO, INCLUI PARAFUSOS E PORCAS</t>
  </si>
  <si>
    <t>00001539</t>
  </si>
  <si>
    <t>CONECTOR METALICO TIPO PARAFUSO FENDIDO (SPLIT BOLT), PARA CABOS ATE 16 MM2</t>
  </si>
  <si>
    <t>00012034</t>
  </si>
  <si>
    <t>CURVA 180 GRAUS, DE PVC RIGIDO ROSCAVEL, DE 3/4", PARA ELETRODUTO</t>
  </si>
  <si>
    <t>00002392</t>
  </si>
  <si>
    <t>DISJUNTOR TIPO NEMA, TRIPOLAR 10  ATE  50A, TENSAO MAXIMA DE 415 V</t>
  </si>
  <si>
    <t>00002685</t>
  </si>
  <si>
    <t>ELETRODUTO DE PVC RIGIDO ROSCAVEL DE 1 ", SEM LUVA</t>
  </si>
  <si>
    <t>00000937</t>
  </si>
  <si>
    <t>FIO DE COBRE, SOLIDO, CLASSE 1, ISOLACAO EM PVC/A, ANTICHAMA BWF-B, 450/750V, SECAO NOMINAL 10 MM2</t>
  </si>
  <si>
    <t>00000406</t>
  </si>
  <si>
    <t>FITA ACO INOX PARA CINTAR POSTE, L = 19 MM, E = 0,5 MM (ROLO DE 30M)</t>
  </si>
  <si>
    <t>00003379</t>
  </si>
  <si>
    <t>HASTE DE ATERRAMENTO EM ACO COM 3,00 M DE COMPRIMENTO E DN = 5/8", REVESTIDA COM BAIXA CAMADA DE COBRE, SEM CONECTOR</t>
  </si>
  <si>
    <t>00001892</t>
  </si>
  <si>
    <t>LUVA EM PVC RIGIDO ROSCAVEL, DE 1", PARA ELETRODUTO</t>
  </si>
  <si>
    <t>00004346</t>
  </si>
  <si>
    <t>PARAFUSO DE FERRO POLIDO, SEXTAVADO, COM ROSCA PARCIAL, DIAMETRO 5/8", COMPRIMENTO 6", COM PORCA E ARRUELA DE PRESSAO MEDIA</t>
  </si>
  <si>
    <t>00002731</t>
  </si>
  <si>
    <t>POSTE ROLICO DE MADEIRA TRATADA, D = 20 A 25 CM, H = 12,00 M, EM EUCALIPTO OU EQUIVALENTE DA REGIAO</t>
  </si>
  <si>
    <t>88264</t>
  </si>
  <si>
    <t>ELETRICISTA COM ENCARGOS COMPLEMENTARES</t>
  </si>
  <si>
    <t>CP-73658 LIGAÇÃO DOMICILIAR DE ESGOTO DN 100MM, DA CASA ATÉ A CAIXA, COMPOSTO POR 10,0M TUBO DE PVC ESGOTO PREDIAL DN 100MM E CAIXA DE ALVENARIA COM TAMPA DE CONCRETO - FORNECIMENTO E INSTALAÇÃO (UN)</t>
  </si>
  <si>
    <t>00043059</t>
  </si>
  <si>
    <t>ACO CA-60, 4,2 MM, OU 5,0 MM, OU 6,0 MM, OU 7,0 MM, VERGALHAO</t>
  </si>
  <si>
    <t>00043132</t>
  </si>
  <si>
    <t>ARAME RECOZIDO 16 BWG, D = 1,65 MM (0,016 KG/M) OU 18 BWG, D = 1,25 MM (0,01 KG/M)</t>
  </si>
  <si>
    <t>00000367</t>
  </si>
  <si>
    <t>AREIA GROSSA - POSTO JAZIDA/FORNECEDOR (RETIRADO NA JAZIDA, SEM TRANSPORTE)</t>
  </si>
  <si>
    <t>00007271</t>
  </si>
  <si>
    <t>BLOCO CERAMICO / TIJOLO VAZADO PARA ALVENARIA DE VEDACAO, 8 FUROS NA HORIZONTAL, DE 9 X 19 X 19 CM (L XA X C)</t>
  </si>
  <si>
    <t>00001379</t>
  </si>
  <si>
    <t>CIMENTO PORTLAND COMPOSTO CP II-32</t>
  </si>
  <si>
    <t>00004718</t>
  </si>
  <si>
    <t>PEDRA BRITADA N. 2 (19 A 38 MM) POSTO PEDREIRA/FORNECEDOR, SEM FRETE</t>
  </si>
  <si>
    <t>00005061</t>
  </si>
  <si>
    <t>PREGO DE ACO POLIDO COM CABECA 18 X 27 (2 1/2 X 10)</t>
  </si>
  <si>
    <t>00006189</t>
  </si>
  <si>
    <t>TABUA NAO APARELHADA *2,5 X 30* CM, EM MACARANDUBA/MASSARANDUBA, ANGELIM OU EQUIVALENTE DA REGIAO - BRUTA</t>
  </si>
  <si>
    <t>00009836</t>
  </si>
  <si>
    <t>TUBO PVC  SERIE NORMAL, DN 100 MM, PARA ESGOTO  PREDIAL (NBR 5688)</t>
  </si>
  <si>
    <t>88267</t>
  </si>
  <si>
    <t>ENCANADOR OU BOMBEIRO HIDRÁULICO COM ENCARGOS COMPLEMENTARES</t>
  </si>
  <si>
    <t>CP-74077/003 LOCACAO CONVENCIONAL DE OBRA, ATRAVÉS DE GABARITO DE TABUAS CORRIDAS PONTALETADAS, COM REAPROVEITAMENTO DE 3 VEZES. (M2)</t>
  </si>
  <si>
    <t>00010567</t>
  </si>
  <si>
    <t>TABUA *2,5 X 23* CM EM PINUS, MISTA OU EQUIVALENTE DA REGIAO - BRUTA</t>
  </si>
  <si>
    <t>PROJ-001 PROJETO EXECUTIVO ARQUITETÔNICO E DE ENGENHARIAS. (UN)</t>
  </si>
  <si>
    <t>01.050.0357-0</t>
  </si>
  <si>
    <t>PROJETO EXECUTIVO DE ARQUITETURA,CONSIDERANDO O PROJETO BASICO EXISTENTE,PARA PREDIOS ESCOLARES E/OU ADMINISTRATIVOS DE 501 ATE 3000M2,APRESENTADO NOS PADROES DA CONTRATANTE,INCLUSIVE AS LEGALIZACOES PERTINENTES,COORDENACAO E COMPATIBILIZACAO COM OS PROJETOS COMPLEMENTARES</t>
  </si>
  <si>
    <t>01.050.0088-0</t>
  </si>
  <si>
    <t>PROJETO EXECUTIVO DE INSTALACAO DE ESGOTO SANITARIO E AGUAS PLUVIAIS PARA PREDIOS ESCOLARES E/OU ADMINISTRATIVOS DE 501 ATE 3.000M2,INCLUSIVE PROJETO BASICO,APRESENTADO NOS PADROESDA CONTRATANTE,INCLUSIVE AS LEGALIZACOES PERTINENTES</t>
  </si>
  <si>
    <t>01.050.0061-0</t>
  </si>
  <si>
    <t>PROJETO EXECUTIVO DE INSTALACAO DE GAS PARA PREDIOS ESCOLARES E/OU ADMINISTRATIVOS ACIMA DE 500M2,INCLUSIVE PROJETO BASICO,APRESENTADO NOS PADROES DA CONTRATANTE,INCLUSIVE AS LEGALIZACOES PERTINENTES</t>
  </si>
  <si>
    <t>01.050.0050-0</t>
  </si>
  <si>
    <t>PROJETO EXECUTIVO DE INSTALACAO DE INCENDIO E SPDA PARA PREDIOS ESCOLARES E/OU ADMINISTRATIVOS DE 501 ATE 3.000M2,INCLUSIVE PROJETO BASICO,APRESENTADO NOS PADROES DA CONTRATANTE,INCLUSIVE AS LEGALIZACOES PERTINENTES</t>
  </si>
  <si>
    <t>01.050.0079-0</t>
  </si>
  <si>
    <t>PROJETO EXECUTIVO DE INSTALACAO DE TELEMATICA PARA PREDIOS ESCOLARES E/OU ADMINISTRATIVOS ACIMA DE 500M2,INCLUSIVE PROJETO BASICO,APRESENTADO NOS PADROES DA CONTRATANTE,INCLUSIVE AS LEGALIZACOES PERTINENTES</t>
  </si>
  <si>
    <t>01.050.0114-0</t>
  </si>
  <si>
    <t>PROJETO EXECUTIVO DE INSTALACAO ELETRICA PARA PREDIOS ESCOLARES E/OU ADMINISTRATIVOS DE 501 ATE 3.000M2,INCLUSIVE PROJETO BASICO,APRESENTADO NOS PADROES DA CONTRATANTE,INCLUSIVE ASLEGALIZACOES PERTINENTES</t>
  </si>
  <si>
    <t>01.050.0099-0</t>
  </si>
  <si>
    <t>PROJETO EXECUTIVO DE INSTALACAO HIDRAULICA PARA PREDIOS ESCOLARES E/OU ADMINISTRATIVOS DE 501 A 3.000M2,INCLUSIVE PROJETO BASICO,APRESENTADO NOS PADROES DA CONTRATANTE,INCLUSIVE ASLEGALIZACOES PERTINENTES</t>
  </si>
  <si>
    <t>01.050.0129-0</t>
  </si>
  <si>
    <t>PROJETO EXECUTIVO DE SISTEMA DE AR CONDICIONADO,INCLUSIVE PROJETO BASICO,APRESENTADO NOS PADROES DA CONTRATANTE,EM PREDIOS COM AREA DE 501 ATE 3000M2</t>
  </si>
  <si>
    <t>01.050.0554-0</t>
  </si>
  <si>
    <t>PROJETO EXECUTIVO ESTRUTURAL PARA PREDIOS ESCOLARES E/OU ADMINISTRATIVOS ACIMA DE 3000M2,CONSIDERANDO O PROJETO BASICO EXISTENTE,APRESENTADO NOS PADROES DA CONTRATANTE,CONSTANDO DEPLANTAS DE FORMA,ARMACAO E DETALHES</t>
  </si>
  <si>
    <t>CP-2220064 CURA DO CONCRETO COM ASPERSÃO DE ÁGUA (M²)</t>
  </si>
  <si>
    <t>PVC01 FORNECIMENTO DE MODULOS EM PVC, INCLUSIVE ACESSÓRIOS, EM CONFORMIDADE COM A DIRETRIZ SINAT 004/REV1-DATEC 017A (MINISTERIO DO DESENVOLVIMENTO REGIONAL) (M²)</t>
  </si>
  <si>
    <t>FORN01</t>
  </si>
  <si>
    <t>FORNECIMENTO DE MODULOS EM PVC, INCLUSIVE ACESSÓRIOS</t>
  </si>
  <si>
    <t>PVC02 MONTAGEM E TRAVAMENTO DE PAREDES EM MÓDULOS DE PVC (M²)</t>
  </si>
  <si>
    <t>88309</t>
  </si>
  <si>
    <t>PEDREIRO COM ENCARGOS COMPLEMENTARES</t>
  </si>
  <si>
    <t>S02344 PREPARO DE SUPERFÍCIE COM LIXAMENTO DE PAREDES E TETOS (M2)</t>
  </si>
  <si>
    <t>00003767</t>
  </si>
  <si>
    <t>LIXA EM FOLHA PARA PAREDE OU MADEIRA, NUMERO 120, COR VERMELHA</t>
  </si>
  <si>
    <t>88310</t>
  </si>
  <si>
    <t>PINTOR COM ENCARGOS COMPLEMENTARES</t>
  </si>
  <si>
    <t>CP-S03410 PEITORIL DE CONCRETO ARMADO COM PINGADEIRA LARGURA 13 CM (M)</t>
  </si>
  <si>
    <t>94970</t>
  </si>
  <si>
    <t>CONCRETO FCK = 20MPA, TRAÇO 1:2,7:3 (EM MASSA SECA DE CIMENTO/ AREIA MÉDIA/ BRITA 1) - PREPARO MECÂNICO COM BETONEIRA 600 L. AF_05/2021</t>
  </si>
  <si>
    <t>92799</t>
  </si>
  <si>
    <t>CORTE E DOBRA DE AÇO CA-60, DIÂMETRO DE 4,2 MM. AF_06/2022</t>
  </si>
  <si>
    <t>92268</t>
  </si>
  <si>
    <t>FABRICAÇÃO DE FÔRMA PARA LAJES, EM CHAPA DE MADEIRA COMPENSADA PLASTIFICADA, E = 18 MM. AF_09/2020</t>
  </si>
  <si>
    <t>CP-S09552-10218859 TESTEIRA METÁLICA EM CHAPA DE ALUMÍNIO PINTADA. (M2)</t>
  </si>
  <si>
    <t>00043701</t>
  </si>
  <si>
    <t>CHAPA/BOBINA LISA EM ALUMINIO, LIGA 1.200 - H14, QUALQUER ESPESSURA, QUALQUER LARGURA</t>
  </si>
  <si>
    <t>00005104</t>
  </si>
  <si>
    <t>REBITE DE REPUXO EM ALUMINIO VAZADO, DIAMETRO 3,2 X 8 MM DE COMPRIMENTO (1KG = 1025 UNIDADES)</t>
  </si>
  <si>
    <t>88315</t>
  </si>
  <si>
    <t>SERRALHEIRO COM ENCARGOS COMPLEMENTARES</t>
  </si>
  <si>
    <t>100719</t>
  </si>
  <si>
    <t>PINTURA COM TINTA ALQUÍDICA DE FUNDO (TIPO ZARCÃO) PULVERIZADA SOBRE PERFIL METÁLICO EXECUTADO EM FÁBRICA (POR DEMÃO). AF_01/2020_PE</t>
  </si>
  <si>
    <t>CP-88650 RODAPÉ CERÂMICO DE 7CM DE ALTURA COM PLACAS TIPO PORCELANATO DE DIMENSÕES 60X60CM. (M)</t>
  </si>
  <si>
    <t>00001381</t>
  </si>
  <si>
    <t>ARGAMASSA COLANTE AC I PARA CERAMICAS</t>
  </si>
  <si>
    <t>00038195</t>
  </si>
  <si>
    <t>PISO PORCELANATO, BORDA RETA, EXTRA, FORMATO MAIOR QUE 2025 CM2</t>
  </si>
  <si>
    <t>00034357</t>
  </si>
  <si>
    <t>REJUNTE CIMENTICIO, QUALQUER COR</t>
  </si>
  <si>
    <t>88256</t>
  </si>
  <si>
    <t>AZULEJISTA OU LADRILHISTA COM ENCARGOS COMPLEMENTARES</t>
  </si>
  <si>
    <t>CP-S02181 FORNECIMENTO E ASSENTAMENTO DE JUNTAS PLÁSTICAS PARA PISOS 27 X 3MM (M)</t>
  </si>
  <si>
    <t>00000370</t>
  </si>
  <si>
    <t>AREIA MEDIA - POSTO JAZIDA/FORNECEDOR (RETIRADO NA JAZIDA, SEM TRANSPORTE)</t>
  </si>
  <si>
    <t>00003671</t>
  </si>
  <si>
    <t>JUNTA PLASTICA DE DILATACAO PARA PISOS, COR CINZA, 17 X 3 MM (ALTURA X ESPESSURA)</t>
  </si>
  <si>
    <t>CP-104162.1 POLIMENTO DE PISO DE CONCRETO. (M2)</t>
  </si>
  <si>
    <t>Equipamento Custo Horário</t>
  </si>
  <si>
    <t>95277</t>
  </si>
  <si>
    <t>POLIDORA DE PISO (POLITRIZ), PESO DE 100KG, DIÂMETRO 450 MM, MOTOR ELÉTRICO, POTÊNCIA 4 HP - CHI DIURNO. AF_05/2023</t>
  </si>
  <si>
    <t>95276</t>
  </si>
  <si>
    <t>POLIDORA DE PISO (POLITRIZ), PESO DE 100KG, DIÂMETRO 450 MM, MOTOR ELÉTRICO, POTÊNCIA 4 HP - CHP DIURNO. AF_05/2023</t>
  </si>
  <si>
    <t>TOTAL Equipamento Custo Horário:</t>
  </si>
  <si>
    <t>CP-100323.1 LASTRO COM MATERIAL GRANULAR (TERRA VEGETAL), APLICADO SOBRE SOLO. (M3)</t>
  </si>
  <si>
    <t>91278</t>
  </si>
  <si>
    <t>PLACA VIBRATÓRIA REVERSÍVEL COM MOTOR 4 TEMPOS A GASOLINA, FORÇA CENTRÍFUGA DE 25 KN (2500 KGF), POTÊNCIA 5,5 CV - CHI DIURNO. AF_08/2015</t>
  </si>
  <si>
    <t>91277</t>
  </si>
  <si>
    <t>PLACA VIBRATÓRIA REVERSÍVEL COM MOTOR 4 TEMPOS A GASOLINA, FORÇA CENTRÍFUGA DE 25 KN (2500 KGF), POTÊNCIA 5,5 CV - CHP DIURNO. AF_08/2015</t>
  </si>
  <si>
    <t>00007253</t>
  </si>
  <si>
    <t>TERRA VEGETAL (GRANEL)</t>
  </si>
  <si>
    <t>CP-S08030 KIT DE PORTA DE MADEIRA PARA PINTURA, SEMI-OCA (LEVE OU MÉDIA), PADRÃO MÉDIO, 90X210CM, ESPESSURA DE 3,5CM, ITENS INCLUSOS: DOBRADIÇAS, MONTAGEM E INSTALAÇÃO DO BATENTE, FECHADURA COM EXECUÇÃO DO FURO, COM VISOR DE VIDRO TEMPERADO DE 6MM (50X60CM). (UN)</t>
  </si>
  <si>
    <t>00002432</t>
  </si>
  <si>
    <t>DOBRADICA EM ACO/FERRO, 3 1/2" X  3", E= 1,9  A 2 MM, COM ANEL,  CROMADO OU ZINCADO, TAMPA BOLA, COM PARAFUSOS</t>
  </si>
  <si>
    <t>00003080</t>
  </si>
  <si>
    <t>FECHADURA ESPELHO PARA PORTA EXTERNA, EM ACO INOX (MAQUINA, TESTA E CONTRA-TESTA) E EM ZAMAC (MACANETA, LINGUETA E TRINCOS) COM ACABAMENTO CROMADO, MAQUINA DE 40 MM, INCLUINDO CHAVE TIPO CILINDRO</t>
  </si>
  <si>
    <t>CJ</t>
  </si>
  <si>
    <t>00039497</t>
  </si>
  <si>
    <t>KIT PORTA PRONTA DE MADEIRA, FOLHA MEDIA (NBR 15930) DE 900 X 2100 MM, DE 35 MM A 40 MM DE ESPESSURA, NUCLEO SEMI-SOLIDO (SARRAFEADO), ESTRUTURA USINADA PARA FECHADURA, CAPA LISA EM HDF, ACABAMENTO EM PRIMER PARA PINTURA (INCLUI MARCO, ALIZARES E DOBRADICAS)</t>
  </si>
  <si>
    <t>88261</t>
  </si>
  <si>
    <t>CARPINTEIRO DE ESQUADRIA COM ENCARGOS COMPLEMENTARES</t>
  </si>
  <si>
    <t>88628</t>
  </si>
  <si>
    <t>ARGAMASSA TRAÇO 1:3 (EM VOLUME DE CIMENTO E AREIA MÉDIA ÚMIDA), PREPARO MECÂNICO COM BETONEIRA 400 L. AF_08/2019</t>
  </si>
  <si>
    <t>91287</t>
  </si>
  <si>
    <t>BATENTE PARA PORTA DE MADEIRA, PADRÃO POPULAR - FORNECIMENTO E MONTAGEM. AF_12/2019</t>
  </si>
  <si>
    <t>102179</t>
  </si>
  <si>
    <t>INSTALAÇÃO DE VIDRO TEMPERADO, E = 6 MM, ENCAIXADO EM PERFIL U. AF_01/2021_PS</t>
  </si>
  <si>
    <t>CP-100675.1 INSTALAÇÃO E FIXAÇÃO DE ESQUADRIAS COM PREENCHIMENTO TOTAL DE ESPUMA EXPANSIVA. (M)</t>
  </si>
  <si>
    <t>00038124</t>
  </si>
  <si>
    <t>ESPUMA EXPANSIVA DE POLIURETANO, APLICACAO MANUAL - 500 ML</t>
  </si>
  <si>
    <t>CP-S09076.1 CHAPA DE ALUMÍNIO CORRUGADA E=0,7MM PARA PROTEÇÃO DE PORTA. (M2)</t>
  </si>
  <si>
    <t>CP-102185-33572915 PORTA DE ABRIR COM MOLA HIDRÁULICA, EM VIDRO TEMPERADO, 2 FOLHAS DE 90X230 CM, ESPESSURA DD 10MM, INCLUSIVE ACESSÓRIOS. AF_01/2021 (UN)</t>
  </si>
  <si>
    <t>00003104</t>
  </si>
  <si>
    <t>CONJ. DE FERRAGENS PARA PORTA DE VIDRO TEMPERADO, EM ZAMAC CROMADO, CONTEMPLANDO DOBRADICA INF., DOBRADICA SUP., PIVO PARA DOBRADICA INF., PIVO PARA DOBRADICA SUP., FECHADURA CENTRAL EM ZAMC. CROMADO, CONTRA FECHADURA DE PRESSAO</t>
  </si>
  <si>
    <t>00011499</t>
  </si>
  <si>
    <t>MOLA HIDRAULICA DE PISO, PARA PORTAS DE ATE 1100 MM E PESO DE ATE 120 KG, COM CORPO EM ACO INOX</t>
  </si>
  <si>
    <t>00005031</t>
  </si>
  <si>
    <t>VIDRO TEMPERADO INCOLOR PARA PORTA DE ABRIR, E = 10 MM (SEM FERRAGENS E SEM COLOCACAO)</t>
  </si>
  <si>
    <t>88325</t>
  </si>
  <si>
    <t>VIDRACEIRO COM ENCARGOS COMPLEMENTARES</t>
  </si>
  <si>
    <t>CP-85005 ESPELHO CRISTAL, ESPESSURA 4MM, COM PARAFUSOS DE FIXACAO, SEM MOLDURA. (M2)</t>
  </si>
  <si>
    <t>00011186</t>
  </si>
  <si>
    <t>ESPELHO CRISTAL E = 4 MM</t>
  </si>
  <si>
    <t>00000442</t>
  </si>
  <si>
    <t>PARAFUSO FRANCES M16 EM ACO GALVANIZADO, COMPRIMENTO = 45 MM, DIAMETRO = 16 MM, CABECA ABAULADA</t>
  </si>
  <si>
    <t>CP-S08970 TELA DE NYLON TIPO MOSQUITEIRO COM MOLDURA EM ALUMINIO ANODIZADO NATURAL. (M2)</t>
  </si>
  <si>
    <t>00000592</t>
  </si>
  <si>
    <t>CANTONEIRA EM ALUMINIO, ABAS IGUAIS, LARGURA DE 25,40 MM (1"), ESPESSURA DE 3,17 MM (1/8") E PESO LINEAR DE APROXIMADAMENTE 0,408 KG/M</t>
  </si>
  <si>
    <t>00007170</t>
  </si>
  <si>
    <t>TELA FACHADEIRA EM POLIETILENO, ROLO DE 3 X 100 M (L X C), COR BRANCA, SEM LOGOMARCA - PARA PROTECAO DE OBRAS</t>
  </si>
  <si>
    <t>CP-S11947 PORTA EM ALUMÍNIO, COR N/P/B, TIPO VENEZIANA (ATÉ 50%) E VIDRO (ATÉ 50%), DE ABRIR OU CORRER, COMPLETA, INCLUSIVE CAIXILHOS, DOBRADIÇAS OU ROLDANAS, FECHADURA INCLUSIVE VIDRO. (M2)</t>
  </si>
  <si>
    <t>00039025</t>
  </si>
  <si>
    <t>PORTA DE ABRIR EM ALUMINIO TIPO VENEZIANA, ACABAMENTO ANODIZADO NATURAL, SEM GUARNICAO/ALIZAR/VISTA, 87 X 210 CM</t>
  </si>
  <si>
    <t>87298</t>
  </si>
  <si>
    <t>ARGAMASSA TRAÇO 1:3 (EM VOLUME DE CIMENTO E AREIA MÉDIA ÚMIDA) PARA CONTRAPISO, PREPARO MECÂNICO COM BETONEIRA 400 L. AF_08/2019</t>
  </si>
  <si>
    <t>102166</t>
  </si>
  <si>
    <t>INSTALAÇÃO DE VIDRO LISO INCOLOR, E = 6 MM, EM ESQUADRIA DE ALUMÍNIO OU PVC, FIXADO COM BAGUETE. AF_01/2021_PS</t>
  </si>
  <si>
    <t>CP-99861.1 GRADIL EM FERRO, FORMADO POR BARRAS CHATAS DE 25X4,8 MM. AF_04/2019 (M2)</t>
  </si>
  <si>
    <t>00000565</t>
  </si>
  <si>
    <t>BARRA DE ACO CHATO, RETANGULAR, 25,4 MM X 4,76 MM (L X E), 1,73 KG/M</t>
  </si>
  <si>
    <t>00004777</t>
  </si>
  <si>
    <t>CANTONEIRA ACO ABAS IGUAIS (QUALQUER BITOLA), ESPESSURA ENTRE 1/8" E 1/4"</t>
  </si>
  <si>
    <t>00011002</t>
  </si>
  <si>
    <t>ELETRODO REVESTIDO AWS - E6013, DIAMETRO IGUAL A 2,50 MM</t>
  </si>
  <si>
    <t>88251</t>
  </si>
  <si>
    <t>AUXILIAR DE SERRALHEIRO COM ENCARGOS COMPLEMENTARES</t>
  </si>
  <si>
    <t>88629</t>
  </si>
  <si>
    <t>ARGAMASSA TRAÇO 1:3 (EM VOLUME DE CIMENTO E AREIA MÉDIA ÚMIDA), PREPARO MANUAL. AF_08/2019</t>
  </si>
  <si>
    <t>CP-74065/001 PINTURA ESMALTE FOSCO PARA MADEIRA, DUAS DEMAOS, SOBRE FUNDO NIVELADOR BRANCO (M2)</t>
  </si>
  <si>
    <t>00005318</t>
  </si>
  <si>
    <t>DILUENTE AGUARRAS</t>
  </si>
  <si>
    <t>L</t>
  </si>
  <si>
    <t>00043653</t>
  </si>
  <si>
    <t>FUNDO SINTETICO NIVELADOR BRANCO FOSCO PARA MADEIRA</t>
  </si>
  <si>
    <t>00007288</t>
  </si>
  <si>
    <t>TINTA ESMALTE SINTETICO PREMIUM FOSCO</t>
  </si>
  <si>
    <t>CP-88489.4 APLICAÇÃO MANUAL DE PINTURA COM TINTA LÁTEX ACRÍLICA EM PAREDES DE PVC, DUAS DEMÃOS. (M2)</t>
  </si>
  <si>
    <t>00044072</t>
  </si>
  <si>
    <t>PRIMER EPOXI / EPOXIDICO</t>
  </si>
  <si>
    <t>00043624</t>
  </si>
  <si>
    <t>TINTA LATEX ACRILICA SUPER PREMIUM, COR BRANCO FOSCO</t>
  </si>
  <si>
    <t>CP-92688 TUBO DE AÇO GALVANIZADO COM COSTURA, CLASSE MÉDIA, CONEXÃO ROSQUEADA, DN 20 (3/4"), INSTALADO EM RAMAIS E SUB-RAMAIS DE ÁGUA - FORNECIMENTO E INSTALAÇÃO. (M)</t>
  </si>
  <si>
    <t>00007700</t>
  </si>
  <si>
    <t>TUBO ACO GALVANIZADO COM COSTURA, CLASSE MEDIA, DN 3/4", E = *2,65* MM, PESO *1,58* KG/M (NBR 5580)</t>
  </si>
  <si>
    <t>88248</t>
  </si>
  <si>
    <t>AUXILIAR DE ENCANADOR OU BOMBEIRO HIDRÁULICO COM ENCARGOS COMPLEMENTARES</t>
  </si>
  <si>
    <t>CP-97498 TUBO DE AÇO GALVANIZADO COM COSTURA, CLASSE MÉDIA, DN 25 (1"), CONEXÃO ROSQUEADA, INSTALADO EM REDE DE ÁGUA - FORNECIMENTO E INSTALAÇÃO. (M)</t>
  </si>
  <si>
    <t>00040626</t>
  </si>
  <si>
    <t>TUBO ACO GALVANIZADO COM COSTURA, CLASSE MEDIA, DN 1", E = 3,38 MM, PESO 2,50 KG/M (NBR 5580)</t>
  </si>
  <si>
    <t>CP-92705 TÊ, EM FERRO GALVANIZADO, CONEXÃO ROSQUEADA, DN 20 (3/4"), INSTALADO EM RAMAIS E SUB-RAMAIS DE ÁGUA- FORNECIMENTO E INSTALAÇÃO. (UN)</t>
  </si>
  <si>
    <t>00003148</t>
  </si>
  <si>
    <t>FITA VEDA ROSCA EM ROLOS DE 18 MM X 50 M (L X C)</t>
  </si>
  <si>
    <t>00007307</t>
  </si>
  <si>
    <t>FUNDO ANTICORROSIVO PARA METAIS FERROSOS (ZARCAO)</t>
  </si>
  <si>
    <t>00006295</t>
  </si>
  <si>
    <t>TE DE FERRO GALVANIZADO, DE 3/4"</t>
  </si>
  <si>
    <t>CP-94471 COTOVELO 90 GRAUS, EM FERRO GALVANIZADO, CONEXÃO ROSQUEADA, DN 20 (3/4"), INSTALADO EM RESERVAÇÃO DE ÁGUA DE EDIFICAÇÃO QUE POSSUA RESERVATÓRIO DE FIBRA/FIBROCIMENTO ? FORNECIMENTO E INSTALAÇÃO. (UN)</t>
  </si>
  <si>
    <t>00003456</t>
  </si>
  <si>
    <t>COTOVELO 90 GRAUS DE FERRO GALVANIZADO, COM ROSCA BSP, DE 3/4"</t>
  </si>
  <si>
    <t>CP-9447.2 COTOVELO 90 GRAUS, EM FERRO GALVANIZADO, CONEXÃO ROSQUEADA, DN 25 (1"), INSTALADO EM RESERVAÇÃO DE ÁGUA DE EDIFICAÇÃO QUE POSSUA RESERVATÓRIO DE FIBRA/FIBROCIMENTO ? FORNECIMENTO E INSTALAÇÃO. (UN)</t>
  </si>
  <si>
    <t>00003472</t>
  </si>
  <si>
    <t>COTOVELO 90 GRAUS DE FERRO GALVANIZADO, COM ROSCA BSP, DE 1"</t>
  </si>
  <si>
    <t>92905 UNIÃO, EM FERRO GALVANIZADO, CONEXÃO ROSQUEADA, DN 20 (3/4"), INSTALADO EM RAMAIS E SUB-RAMAIS DE ÁGUA- FORNECIMENTO E INSTALAÇÃO. (UN)</t>
  </si>
  <si>
    <t>00009885</t>
  </si>
  <si>
    <t>UNIAO DE FERRO GALVANIZADO, COM ROSCA BSP, COM ASSENTO PLANO, DE 3/4"</t>
  </si>
  <si>
    <t>CP-90375 BUCHA DE REDUÇÃO, PVC, SOLDÁVEL, DN 60MM X 50MM, INSTALADO EM RAMAL OU SUB-RAMAL DE ÁGUA - FORNECIMENTO E INSTALAÇÃO. (UN)</t>
  </si>
  <si>
    <t>00000122</t>
  </si>
  <si>
    <t>ADESIVO PLASTICO PARA PVC, FRASCO COM *850* GR</t>
  </si>
  <si>
    <t>00000818</t>
  </si>
  <si>
    <t>BUCHA DE REDUCAO DE PVC, SOLDAVEL, CURTA, COM 60 X 50 MM, PARA AGUA FRIA PREDIAL</t>
  </si>
  <si>
    <t>00038383</t>
  </si>
  <si>
    <t>LIXA D'AGUA EM FOLHA, GRAO 100</t>
  </si>
  <si>
    <t>00020083</t>
  </si>
  <si>
    <t>SOLUCAO PREPARADORA / LIMPADORA PARA PVC, FRASCO COM 1000 CM3</t>
  </si>
  <si>
    <t>CP-92694 NIPLE, EM FERRO GALVANIZADO, CONEXÃO ROSQUEADA, DN 20 (3/4"), INSTALADO EM RAMAIS E SUB-RAMAIS DE ÁGUA- FORNECIMENTO E INSTALAÇÃO. (UN)</t>
  </si>
  <si>
    <t>00004178</t>
  </si>
  <si>
    <t>NIPLE DE FERRO GALVANIZADO, COM ROSCA BSP, DE 3/4"</t>
  </si>
  <si>
    <t>CP-89785.1 JUNÇÃO SIMPLES, PVC, SERIE NORMAL, ESGOTO PREDIAL, DN 40 X 40 MM, JUNTA ELÁSTICA, FORNECIDO E INSTALADO EM RAMAL DE DESCARGA OU RAMAL DE ESGOTO SANITÁRIO. (UN)</t>
  </si>
  <si>
    <t>00000296</t>
  </si>
  <si>
    <t>ANEL BORRACHA PARA TUBO ESGOTO PREDIAL, DN 50 MM (NBR 5688)</t>
  </si>
  <si>
    <t>00003666</t>
  </si>
  <si>
    <t>JUNCAO SIMPLES, PVC, 45 GRAUS, DN 40 X 40 MM, SERIE NORMAL PARA ESGOTO PREDIAL</t>
  </si>
  <si>
    <t>00020078</t>
  </si>
  <si>
    <t>PASTA LUBRIFICANTE PARA TUBOS E CONEXOES COM JUNTA ELASTICA, EMBALAGEM DE *400* GR (USO EM PVC, ACO, POLIETILENO E OUTROS)</t>
  </si>
  <si>
    <t>89797 JUNÇÃO SIMPLES, PVC, SERIE NORMAL, ESGOTO PREDIAL, DN 100 X 50 MM, JUNTA ELÁSTICA, FORNECIDO E INSTALADO EM RAMAL DE DESCARGA OU RAMAL DE ESGOTO SANITÁRIO. (UN)</t>
  </si>
  <si>
    <t>00000301</t>
  </si>
  <si>
    <t>ANEL BORRACHA PARA TUBO ESGOTO PREDIAL, DN 100 MM (NBR 5688)</t>
  </si>
  <si>
    <t>00003659</t>
  </si>
  <si>
    <t>JUNCAO SIMPLES DE REDUCAO, PVC, DN 100 X 50 MM, SERIE NORMAL PARA ESGOTO PREDIAL</t>
  </si>
  <si>
    <t>CP-104329.1 CAIXA SIFONADA, COM GRELHA REDONDA, PVC, DN 100 X 150 X 50 MM, JUNTA SOLDÁVEL, FORNECIDA E INSTALADA EM RAMAL DE DESCARGA OU EM RAMAL DE ESGOTO SANITÁRIO. (UN)</t>
  </si>
  <si>
    <t>00011717</t>
  </si>
  <si>
    <t>CAIXA SIFONADA, PVC, 150 X 150 X 50 MM, COM GRELHA REDONDA, BRANCA</t>
  </si>
  <si>
    <t>CP-98107.1 CAIXA DE GORDURA SIMPLES (CAPACIDADE: 52 L), RETANGULAR, EM ALVENARIA COM BLOCOS DE CONCRETO, DIMENSÕES INTERNAS = 0,52 X 0,33  M, ALTURA INTERNA = 0,51 M. (UN)</t>
  </si>
  <si>
    <t>00000650</t>
  </si>
  <si>
    <t>BLOCO DE VEDACAO DE CONCRETO, 9 X 19 X 39 CM (CLASSE C - NBR 6136)</t>
  </si>
  <si>
    <t>00002692</t>
  </si>
  <si>
    <t>DESMOLDANTE PROTETOR PARA FORMAS DE MADEIRA, DE BASE OLEOSA EMULSIONADA EM AGUA</t>
  </si>
  <si>
    <t>00005069</t>
  </si>
  <si>
    <t>PREGO DE ACO POLIDO COM CABECA 17 X 27 (2 1/2 X 11)</t>
  </si>
  <si>
    <t>00004517</t>
  </si>
  <si>
    <t>SARRAFO *2,5 X 7,5* CM EM PINUS, MISTA OU EQUIVALENTE DA REGIAO - BRUTA</t>
  </si>
  <si>
    <t>00006193</t>
  </si>
  <si>
    <t>TABUA NAO APARELHADA *2,5 X 20* CM, EM MACARANDUBA/MASSARANDUBA, ANGELIM OU EQUIVALENTE DA REGIAO - BRUTA</t>
  </si>
  <si>
    <t>100475</t>
  </si>
  <si>
    <t>ARGAMASSA TRAÇO 1:3 (EM VOLUME DE CIMENTO E AREIA MÉDIA ÚMIDA) COM ADIÇÃO DE IMPERMEABILIZANTE, PREPARO MECÂNICO COM BETONEIRA 400 L. AF_08/2019</t>
  </si>
  <si>
    <t>87316</t>
  </si>
  <si>
    <t>ARGAMASSA TRAÇO 1:4 (EM VOLUME DE CIMENTO E AREIA GROSSA ÚMIDA) PARA CHAPISCO CONVENCIONAL, PREPARO MECÂNICO COM BETONEIRA 400 L. AF_08/2019</t>
  </si>
  <si>
    <t>97733</t>
  </si>
  <si>
    <t>PEÇA RETANGULAR PRÉ-MOLDADA, VOLUME DE CONCRETO DE ATÉ 10 LITROS, TAXA DE AÇO APROXIMADA DE 30KG/M³. AF_01/2018</t>
  </si>
  <si>
    <t>CP-053033 PROLONGAMENTO PARA CAIXA SIFONADA PVC 100X200MM (UN)</t>
  </si>
  <si>
    <t>00011735</t>
  </si>
  <si>
    <t>PROLONGAMENTO / PROLONGADOR PARA CAIXA SIFONADA, PVC, 100 MM X 200 MM (NBR 5688)</t>
  </si>
  <si>
    <t>CP-S09752.1 RALO HEMISFÉRICO (FORMATO ABACAXI) DE FERRO FUNDIDO,  Ø100MM. (UN)</t>
  </si>
  <si>
    <t>00011709</t>
  </si>
  <si>
    <t>RALO FOFO SEMIESFERICO, 150 MM, PARA LAJES/ CALHAS</t>
  </si>
  <si>
    <t>CP-43.04.020 TORNEIRA ELÉTRICA (UN)</t>
  </si>
  <si>
    <t>00003146</t>
  </si>
  <si>
    <t>FITA VEDA ROSCA EM ROLOS DE 18 MM X 10 M (L X C)</t>
  </si>
  <si>
    <t>00011777</t>
  </si>
  <si>
    <t>TORNEIRA ELETRICA DE PAREDE, BICA ALTA, PARA COZINHA, 5500 W (110/220 V)</t>
  </si>
  <si>
    <t>PCP-CCU-000049 PORTA TOALHA PLÁSTICO PARA PAPEL TOALHA EM FOLHA (UN)</t>
  </si>
  <si>
    <t>00037401</t>
  </si>
  <si>
    <t>TOALHEIRO PLASTICO TIPO DISPENSER PARA PAPEL TOALHA INTERFOLHADO</t>
  </si>
  <si>
    <t>COMP-89436307 DUCHA HIGIÊNICA COM REGISTRO METÁLICO. (UN)</t>
  </si>
  <si>
    <t>00001370</t>
  </si>
  <si>
    <t>DUCHA HIGIENICA PLASTICA COM REGISTRO METALICO 1/2 "</t>
  </si>
  <si>
    <t>CP-18.006.0054 CABIDE/GANCHO DE BANHEIRO SIMPLES EM METAL CROMADO -FORNECIMENTO E INSTALAÇÃO. (UN)</t>
  </si>
  <si>
    <t>00037399</t>
  </si>
  <si>
    <t>CABIDE/GANCHO DE BANHEIRO SIMPLES EM METAL CROMADO</t>
  </si>
  <si>
    <t>CP-052572 CAP OU TAMPAO GALVANIZADO DIAM. 3/4" (UN)</t>
  </si>
  <si>
    <t>00001163</t>
  </si>
  <si>
    <t>CAP OU TAMPAO DE FERRO GALVANIZADO, COM ROSCA BSP, DE 3/4"</t>
  </si>
  <si>
    <t>00003143</t>
  </si>
  <si>
    <t>FITA VEDA ROSCA EM ROLOS DE 18 MM X 25 M (L X C)</t>
  </si>
  <si>
    <t>CP-C1250 ENVELOPE DE CONCRETO P/PROTEÇÃO DE TUBO PVC ENTERRADO (M)</t>
  </si>
  <si>
    <t>CP-S12137.1 PLACA DE SINALIZACAO DE SEGURANCA CONTRA INCENDIO, FOTOLUMINESCENTE, RETANGULAR, *13 X 26* CM, EM PVC *2* MM ANTI-CHAMAS (SIMBOLOS, CORES E PICTOGRAMAS CONFORME NBR 13434) (UN)</t>
  </si>
  <si>
    <t>00037539</t>
  </si>
  <si>
    <t>PLACA DE SINALIZACAO DE SEGURANCA CONTRA INCENDIO, FOTOLUMINESCENTE, RETANGULAR, *13 X 26* CM, EM PVC *2* MM ANTI-CHAMAS (SIMBOLOS, CORES E PICTOGRAMAS CONFORME NBR 16820)</t>
  </si>
  <si>
    <t>CP-S12137.2 PLACA DE SINALIZACAO DE SEGURANCA CONTRA INCENDIO, FOTOLUMINESCENTE, QUADRADA, *20 X 20* CM, EM PVC *2* MM ANTI-CHAMAS (SIMBOLOS, CORES E PICTOGRAMAS CONFORME NBR 13434) (UN)</t>
  </si>
  <si>
    <t>00037556</t>
  </si>
  <si>
    <t>PLACA DE SINALIZACAO DE SEGURANCA CONTRA INCENDIO, FOTOLUMINESCENTE, QUADRADA, *20 X 20* CM, EM PVC *2* MM ANTI-CHAMAS (SIMBOLOS, CORES E PICTOGRAMAS CONFORME NBR 16820)</t>
  </si>
  <si>
    <t>CP-83646 BOMBA RECALQUE D'AGUA DE ESTAGIOS TRIFASICA 2,0 HP (UN)</t>
  </si>
  <si>
    <t>Equipamento</t>
  </si>
  <si>
    <t>00000735</t>
  </si>
  <si>
    <t>BOMBA CENTRIFUGA  MOTOR ELETRICO TRIFASICO 1,48HP  DIAMETRO DE SUCCAO X ELEVACAO 1" X 1", 4 ESTAGIOS, DIAMETRO DOS ROTORES 3 X 107 MM + 1 X 100 MM, HM/Q: 10 M / 5,3 M3/H A 70 M / 1,8 M3/H</t>
  </si>
  <si>
    <t>TOTAL Equipamento:</t>
  </si>
  <si>
    <t>88243</t>
  </si>
  <si>
    <t>AJUDANTE ESPECIALIZADO COM ENCARGOS COMPLEMENTARES</t>
  </si>
  <si>
    <t>88279</t>
  </si>
  <si>
    <t>MONTADOR ELETROMECÃNICO COM ENCARGOS COMPLEMENTARES</t>
  </si>
  <si>
    <t>CP-C4562.1 DISPOSITIVO DE PROTEÇÃO CONTRA SURTOS DE TENSÃO - DPS'S CLASSE II - *45* KA/460V (UN)</t>
  </si>
  <si>
    <t>00039479</t>
  </si>
  <si>
    <t>DISPOSITIVO DPS CLASSE II, 1 POLO, TENSAO MAXIMA DE 460 V, CORRENTE MAXIMA DE *45* KA (TIPO AC)</t>
  </si>
  <si>
    <t>88247</t>
  </si>
  <si>
    <t>AUXILIAR DE ELETRICISTA COM ENCARGOS COMPLEMENTARES</t>
  </si>
  <si>
    <t>CP-S09969.4 DISPOSITIVO DR, 4 POLOS, SENSIBILIDADE DE 30 MA, CORRENTE DE 25 A, TIPO AC. (UN)</t>
  </si>
  <si>
    <t>00039455</t>
  </si>
  <si>
    <t>DISPOSITIVO DR, 4 POLOS, SENSIBILIDADE DE 30 MA, CORRENTE DE 25 A, TIPO AC</t>
  </si>
  <si>
    <t>CP-S09969.2 DISPOSITIVO DR, 4 POLOS, SENSIBILIDADE DE 30 MA, CORRENTE DE 40 A, TIPO AC. (UN)</t>
  </si>
  <si>
    <t>00039456</t>
  </si>
  <si>
    <t>DISPOSITIVO DR, 4 POLOS, SENSIBILIDADE DE 30 MA, CORRENTE DE 40 A, TIPO AC</t>
  </si>
  <si>
    <t>CP-S09969.1 DISPOSITIVO DR, 4 POLOS, SENSIBILIDADE DE 30 MA, CORRENTE DE 63 A, TIPO AC. (UN)</t>
  </si>
  <si>
    <t>00039457</t>
  </si>
  <si>
    <t>DISPOSITIVO DR, 4 POLOS, SENSIBILIDADE DE 30 MA, CORRENTE DE 63 A, TIPO AC</t>
  </si>
  <si>
    <t>CP-93673.1 DISJUNTOR TRIPOLAR TIPO DIN, CORRENTE NOMINAL DE 63A - FORNECIMENTO E INSTALAÇÃO. (UN)</t>
  </si>
  <si>
    <t>00034714</t>
  </si>
  <si>
    <t>DISJUNTOR TIPO DIN/IEC, TRIPOLAR 63 A</t>
  </si>
  <si>
    <t>00001575</t>
  </si>
  <si>
    <t>TERMINAL A COMPRESSAO EM COBRE ESTANHADO PARA CABO 16 MM2, 1 FURO E 1 COMPRESSAO, PARA PARAFUSO DE FIXACAO M6</t>
  </si>
  <si>
    <t>CP-C2298-74528457 TAMPA CEGA EM PVC. (UN)</t>
  </si>
  <si>
    <t>00007543</t>
  </si>
  <si>
    <t>TAMPA CEGA EM PVC PARA CONDULETE 4 X 2"</t>
  </si>
  <si>
    <t>CP-101666.1 LUMINARIA LED REFLETOR RETANGULAR BIVOLT, LUZ BRANCA, 50 W - FORNECIMENTO E INSTALAÇÃO. AF_08/2020 (UN)</t>
  </si>
  <si>
    <t>00021127</t>
  </si>
  <si>
    <t>FITA ISOLANTE ADESIVA ANTICHAMA, USO ATE 750 V, EM ROLO DE 19 MM X 5 M</t>
  </si>
  <si>
    <t>00039391</t>
  </si>
  <si>
    <t>LUMINARIA LED REFLETOR RETANGULAR BIVOLT, LUZ BRANCA, 50 W</t>
  </si>
  <si>
    <t>CP-C4533-69841639 CABO LÓGICO 4 PARES, CATEGORIA 6 - UTP (M)</t>
  </si>
  <si>
    <t>00043973</t>
  </si>
  <si>
    <t>CABO DE REDE, PAR TRANCADO U/UTP, 4 PARES, CATEGORIA 6 (CAT 6), ISOLAMENTO PVC (CM)</t>
  </si>
  <si>
    <t>42.01.090 MINICAPTOR, EM ACO GALVANIZADO A FOGO, FIXACAO HORIZONTAL DE 1 FUROS, SEM BANDEIRA, H=300 MM X DN=10 MM (UN)</t>
  </si>
  <si>
    <t>00041425</t>
  </si>
  <si>
    <t>83627 TAMPAO FOFO ARTICULADO, CLASSE B125 CARGA MAX 12,5 T, REDONDO TAMPA 600 MM, REDE PLUVIAL/ESGOTO, P = CHAMINE CX AREIA / POCO VISITA ASSENTADO COM ARG CIM/AREIA 1:4, FORNECIMENTO E ASSENTAMENTO (UN)</t>
  </si>
  <si>
    <t>00011301</t>
  </si>
  <si>
    <t>TAMPAO FOFO ARTICULADO, CLASSE B125 CARGA MAX 12,5 T, REDONDO, TAMPA 600 MM (COM INSCRICAO EM RELEVO DO TIPO DE REDE)</t>
  </si>
  <si>
    <t>CP-39393 ABRACADEIRA DE LATAO PARA FIXACAO DE CABO PARA-RAI (SPDA) (UN)</t>
  </si>
  <si>
    <t>00011270</t>
  </si>
  <si>
    <t>ABRACADEIRA DE LATAO PARA FIXACAO DE CABO PARA-RAIO, DIMENSOES 32 X 24 X 24 MM</t>
  </si>
  <si>
    <t>CP-86889 BANCADA DE GRANITO CINZA POLIDO. (M2)</t>
  </si>
  <si>
    <t>00007568</t>
  </si>
  <si>
    <t>BUCHA DE NYLON SEM ABA S10, COM PARAFUSO DE 6,10 X 65 MM EM ACO ZINCADO COM ROSCA SOBERBA, CABECA CHATA E FENDA PHILLIPS</t>
  </si>
  <si>
    <t>00011795</t>
  </si>
  <si>
    <t>GRANITO PARA BANCADA, POLIDO, TIPO ANDORINHA/ QUARTZ/ CASTELO/ CORUMBA OU OUTROS EQUIVALENTES DA REGIAO, E=  *2,5* CM</t>
  </si>
  <si>
    <t>00004823</t>
  </si>
  <si>
    <t>MASSA PLASTICA PARA MARMORE/GRANITO</t>
  </si>
  <si>
    <t>00037329</t>
  </si>
  <si>
    <t>REJUNTE EPOXI, QUALQUER COR</t>
  </si>
  <si>
    <t>00037591</t>
  </si>
  <si>
    <t>SUPORTE MAO-FRANCESA EM ACO, ABAS IGUAIS 40 CM, CAPACIDADE MINIMA 70 KG, BRANCO</t>
  </si>
  <si>
    <t>88274</t>
  </si>
  <si>
    <t>MARMORISTA/GRANITEIRO COM ENCARGOS COMPLEMENTARES</t>
  </si>
  <si>
    <t>CP-S03226.1 ASSENTO EM CONCRETO ARMADO. (M)</t>
  </si>
  <si>
    <t>92770</t>
  </si>
  <si>
    <t>ARMAÇÃO DE LAJE DE ESTRUTURA CONVENCIONAL DE CONCRETO ARMADO UTILIZANDO AÇO CA-50 DE 8,0 MM - MONTAGEM. AF_06/2022</t>
  </si>
  <si>
    <t>87894</t>
  </si>
  <si>
    <t>CHAPISCO APLICADO EM ALVENARIA (SEM PRESENÇA DE VÃOS) E ESTRUTURAS DE CONCRETO DE FACHADA, COM COLHER DE PEDREIRO.  ARGAMASSA TRAÇO 1:3 COM PREPARO EM BETONEIRA 400L. AF_10/2022</t>
  </si>
  <si>
    <t>94963</t>
  </si>
  <si>
    <t>CONCRETO FCK = 15MPA, TRAÇO 1:3,4:3,5 (EM MASSA SECA DE CIMENTO/ AREIA MÉDIA/ BRITA 1) - PREPARO MECÂNICO COM BETONEIRA 400 L. AF_05/2021</t>
  </si>
  <si>
    <t>92265</t>
  </si>
  <si>
    <t>FABRICAÇÃO DE FÔRMA PARA VIGAS, EM CHAPA DE MADEIRA COMPENSADA RESINADA, E = 17 MM. AF_09/2020</t>
  </si>
  <si>
    <t>CP-S03226 BANCO DE CONCRETO EM ALVENARIA DE TIJOLOS, ASSENTO EM CONCRETO ARMADO, SEM ENCOSTO, PINTADO COM TINTA ACRÍLICA, 2 DEMÃOS. (M)</t>
  </si>
  <si>
    <t>103329</t>
  </si>
  <si>
    <t>ALVENARIA DE VEDAÇÃO DE BLOCOS CERÂMICOS FURADOS NA HORIZONTAL DE 9X19X19 CM (ESPESSURA 9 CM) E ARGAMASSA DE ASSENTAMENTO COM PREPARO MANUAL. AF_12/2021</t>
  </si>
  <si>
    <t>MAST-001 MASTRO SIMPLES GALVANIZADO DE DIÂMETRO 2''. (M)</t>
  </si>
  <si>
    <t>00041388</t>
  </si>
  <si>
    <t>MASTRO SIMPLES GALVANIZADO DIAMETRO NOMINAL 2"</t>
  </si>
  <si>
    <t>CP-16.18.074 PLACA DE SINALIZAÇÃO DE AMBIENTE (PAREDE INTERNA). (UN)</t>
  </si>
  <si>
    <t>00010851</t>
  </si>
  <si>
    <t>PLACA DE ACRILICO TRANSPARENTE ADESIVADA PARA SINALIZACAO DE PORTAS, BORDA POLIDA, DE *25 X 8*, E = 6 MM (NAO INCLUI ACESSORIOS PARA FIXACAO)</t>
  </si>
  <si>
    <t>01.003.0001-A</t>
  </si>
  <si>
    <t>01.008.0050-A</t>
  </si>
  <si>
    <t>13.168.0010-A</t>
  </si>
  <si>
    <t>16.012.0005-A</t>
  </si>
  <si>
    <t>14.005.0025-A</t>
  </si>
  <si>
    <t>15.002.0210-A</t>
  </si>
  <si>
    <t>15.001.0053-A</t>
  </si>
  <si>
    <t>18.038.0030-A</t>
  </si>
  <si>
    <t>18.038.0045-A</t>
  </si>
  <si>
    <t>15.011.0136-A</t>
  </si>
  <si>
    <t>15.018.0550-A</t>
  </si>
  <si>
    <t>18.027.0080-A</t>
  </si>
  <si>
    <t>18.027.0476-A</t>
  </si>
  <si>
    <t>15.019.0110-A</t>
  </si>
  <si>
    <t>15.018.0562-A</t>
  </si>
  <si>
    <t>15.018.0310-A</t>
  </si>
  <si>
    <t>15.003.0392-A</t>
  </si>
  <si>
    <t>15.017.0325-A</t>
  </si>
  <si>
    <t>15.017.0330-A</t>
  </si>
  <si>
    <t>15.017.0331-A</t>
  </si>
  <si>
    <t>15.017.0275-A</t>
  </si>
  <si>
    <t>18.016.0010-A</t>
  </si>
  <si>
    <t>15.005.0280-A</t>
  </si>
  <si>
    <t>18.034.0015-A</t>
  </si>
  <si>
    <t>19.004.0400-A</t>
  </si>
  <si>
    <t>8.13</t>
  </si>
  <si>
    <t>PINTURA COM TINTA ALQUÍDICA DE FUNDO E ACABAMENTO (ESMALTE SINTÉTICO GRAFITE) PULVERIZADA SOBRE SUPERFÍCIES METÁLICAS (EXCETO PERFIL) EXECUTADO EM OBRA (POR DEMÃO).</t>
  </si>
  <si>
    <t>100725</t>
  </si>
  <si>
    <t>Será considerado o valor do item 11.1, menos a área das testeiras.</t>
  </si>
  <si>
    <t>Valor item 11.1  =</t>
  </si>
  <si>
    <t>Desconto (Testeira)  =</t>
  </si>
  <si>
    <t>11.8</t>
  </si>
  <si>
    <t>COMPOSIÇÃO PARAMÉTRICA PARA FORNECIMENTO E MONTAGEM DE ESTRUTURA METÁLICA PARA COBERTURA DE GALPÕES COM ESTRUTURA DE APOIO EM TRELIÇA TIPO ARCO.</t>
  </si>
  <si>
    <t>104472</t>
  </si>
  <si>
    <t>COMPOSIÇÃO PARAMÉTRICA PARA FORNECIMENTO E MONTAGEM DE ESTRUTURA METÁLICA PARA COBERTURA DE GALPÕES COM ESTRUTURA DE APOIO EM TRELIÇA TIPO ARCO. AF_11/2022</t>
  </si>
  <si>
    <t>PINTURA COM TINTA ALQUÍDICA DE FUNDO E ACABAMENTO (ESMALTE SINTÉTICO GRAFITE) PULVERIZADA SOBRE SUPERFÍCIES METÁLICAS (EXCETO PERFIL) EXECUTADO EM OBRA (POR DEMÃO). AF_01/2020_PE</t>
  </si>
  <si>
    <r>
      <rPr>
        <b/>
        <sz val="14"/>
        <color theme="1"/>
        <rFont val="Arial"/>
        <family val="2"/>
      </rPr>
      <t>PREFEITURA MUNICIPAL DE CABO FRIO</t>
    </r>
    <r>
      <rPr>
        <b/>
        <sz val="10"/>
        <color theme="1"/>
        <rFont val="Arial"/>
        <family val="2"/>
      </rPr>
      <t xml:space="preserve">
Secretaria Municipal de Educação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</si>
</sst>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_);_(@_)"/>
    <numFmt numFmtId="165" formatCode="&quot;R$&quot;\ #,##0.00"/>
    <numFmt numFmtId="166" formatCode="0.0000"/>
    <numFmt numFmtId="167" formatCode="\R\$\ #,##0.00"/>
    <numFmt numFmtId="168" formatCode="#,##0.00000000"/>
    <numFmt numFmtId="169" formatCode="#,##0.00%"/>
  </numFmts>
  <fonts count="59">
    <font>
      <sz val="11"/>
      <color rgb="FF000000"/>
      <name val="Arial"/>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sz val="11"/>
      <name val="Arial"/>
      <family val="2"/>
    </font>
    <font>
      <b/>
      <sz val="10"/>
      <color theme="1"/>
      <name val="Arial"/>
      <family val="2"/>
    </font>
    <font>
      <b/>
      <sz val="16"/>
      <color theme="1"/>
      <name val="Arial"/>
      <family val="2"/>
    </font>
    <font>
      <b/>
      <u/>
      <sz val="10"/>
      <color theme="1"/>
      <name val="Arial"/>
      <family val="2"/>
    </font>
    <font>
      <sz val="11"/>
      <color rgb="FF000000"/>
      <name val="Arial"/>
      <family val="2"/>
    </font>
    <font>
      <sz val="11"/>
      <color theme="1"/>
      <name val="Arial"/>
      <family val="2"/>
    </font>
    <font>
      <b/>
      <sz val="11"/>
      <color theme="1"/>
      <name val="Arial"/>
      <family val="2"/>
    </font>
    <font>
      <sz val="14"/>
      <color theme="1"/>
      <name val="Arial"/>
      <family val="2"/>
    </font>
    <font>
      <b/>
      <sz val="11"/>
      <color rgb="FF000000"/>
      <name val="Arial"/>
      <family val="2"/>
    </font>
    <font>
      <sz val="11"/>
      <color rgb="FF000000"/>
      <name val="Arial"/>
      <family val="2"/>
      <scheme val="minor"/>
    </font>
    <font>
      <b/>
      <sz val="11"/>
      <name val="Arial"/>
      <family val="2"/>
    </font>
    <font>
      <sz val="10"/>
      <name val="Arial"/>
      <family val="2"/>
    </font>
    <font>
      <sz val="9"/>
      <name val="Times New Roman"/>
      <family val="1"/>
    </font>
    <font>
      <b/>
      <sz val="12"/>
      <name val="Arial"/>
      <family val="2"/>
      <scheme val="minor"/>
    </font>
    <font>
      <b/>
      <sz val="14"/>
      <name val="Arial"/>
      <family val="2"/>
      <scheme val="minor"/>
    </font>
    <font>
      <sz val="11"/>
      <color rgb="FF000000"/>
      <name val="Arial"/>
      <family val="2"/>
      <scheme val="minor"/>
    </font>
    <font>
      <b/>
      <sz val="14"/>
      <name val="Arial"/>
      <family val="2"/>
    </font>
    <font>
      <sz val="14"/>
      <name val="Arial"/>
      <family val="2"/>
    </font>
    <font>
      <b/>
      <sz val="14"/>
      <color rgb="FFF2F2F2"/>
      <name val="Arial"/>
      <family val="2"/>
    </font>
    <font>
      <b/>
      <sz val="12"/>
      <name val="Arial"/>
      <family val="2"/>
    </font>
    <font>
      <sz val="10"/>
      <name val="Arial"/>
      <family val="1"/>
    </font>
    <font>
      <b/>
      <sz val="11"/>
      <color theme="1"/>
      <name val="Arial"/>
      <family val="2"/>
      <scheme val="major"/>
    </font>
    <font>
      <sz val="11"/>
      <color theme="1"/>
      <name val="Arial"/>
      <family val="2"/>
      <scheme val="major"/>
    </font>
    <font>
      <sz val="11"/>
      <color rgb="FF000000"/>
      <name val="Arial"/>
      <family val="2"/>
      <scheme val="major"/>
    </font>
    <font>
      <b/>
      <sz val="12"/>
      <name val="Arial"/>
      <family val="2"/>
      <scheme val="major"/>
    </font>
    <font>
      <b/>
      <sz val="14"/>
      <name val="Arial"/>
      <family val="2"/>
      <scheme val="major"/>
    </font>
    <font>
      <sz val="14"/>
      <name val="Arial"/>
      <family val="2"/>
      <scheme val="major"/>
    </font>
    <font>
      <b/>
      <sz val="11"/>
      <name val="Arial"/>
      <family val="2"/>
      <scheme val="major"/>
    </font>
    <font>
      <b/>
      <sz val="14"/>
      <color theme="0" tint="-4.9989318521683403E-2"/>
      <name val="Arial"/>
      <family val="2"/>
      <scheme val="major"/>
    </font>
    <font>
      <b/>
      <sz val="14"/>
      <color theme="1"/>
      <name val="Arial"/>
      <family val="2"/>
      <scheme val="major"/>
    </font>
    <font>
      <sz val="14"/>
      <color theme="1"/>
      <name val="Arial"/>
      <family val="2"/>
      <scheme val="major"/>
    </font>
    <font>
      <b/>
      <sz val="10"/>
      <name val="Arial"/>
      <family val="2"/>
      <scheme val="major"/>
    </font>
    <font>
      <sz val="10"/>
      <color rgb="FF000000"/>
      <name val="Arial"/>
      <family val="2"/>
      <scheme val="major"/>
    </font>
    <font>
      <sz val="10"/>
      <name val="Arial"/>
      <family val="2"/>
      <scheme val="major"/>
    </font>
    <font>
      <b/>
      <sz val="11"/>
      <color rgb="FF000000"/>
      <name val="Arial"/>
      <family val="2"/>
      <scheme val="major"/>
    </font>
    <font>
      <b/>
      <sz val="14"/>
      <color theme="2" tint="-4.9989318521683403E-2"/>
      <name val="Arial"/>
      <family val="2"/>
      <scheme val="major"/>
    </font>
    <font>
      <sz val="11"/>
      <name val="Arial"/>
      <family val="2"/>
      <scheme val="major"/>
    </font>
    <font>
      <b/>
      <sz val="10"/>
      <color rgb="FF000000"/>
      <name val="Arial"/>
      <family val="2"/>
      <scheme val="major"/>
    </font>
    <font>
      <sz val="11"/>
      <color rgb="FFFF0000"/>
      <name val="Arial"/>
      <family val="2"/>
      <scheme val="major"/>
    </font>
    <font>
      <sz val="12"/>
      <color theme="1"/>
      <name val="Arial"/>
      <family val="2"/>
      <scheme val="major"/>
    </font>
    <font>
      <b/>
      <sz val="12"/>
      <color theme="1"/>
      <name val="Arial"/>
      <family val="2"/>
      <scheme val="major"/>
    </font>
    <font>
      <sz val="12"/>
      <name val="Arial"/>
      <family val="2"/>
      <scheme val="major"/>
    </font>
    <font>
      <b/>
      <sz val="11"/>
      <color rgb="FFFF0000"/>
      <name val="Arial"/>
      <family val="2"/>
      <scheme val="major"/>
    </font>
    <font>
      <sz val="11"/>
      <color rgb="FF333333"/>
      <name val="Arial"/>
      <family val="2"/>
      <scheme val="major"/>
    </font>
    <font>
      <sz val="12"/>
      <color rgb="FF000000"/>
      <name val="Arial"/>
      <family val="2"/>
      <scheme val="major"/>
    </font>
    <font>
      <sz val="14"/>
      <color rgb="FF000000"/>
      <name val="Arial"/>
      <family val="2"/>
      <scheme val="major"/>
    </font>
    <font>
      <b/>
      <sz val="14"/>
      <color rgb="FFF2F2F2"/>
      <name val="Arial"/>
      <family val="2"/>
      <scheme val="major"/>
    </font>
    <font>
      <sz val="12"/>
      <name val="Arial"/>
      <family val="1"/>
    </font>
    <font>
      <b/>
      <sz val="11"/>
      <color rgb="FF000000"/>
      <name val="Arial"/>
      <family val="2"/>
      <scheme val="minor"/>
    </font>
    <font>
      <b/>
      <sz val="12"/>
      <color rgb="FF000000"/>
      <name val="Arial"/>
      <family val="2"/>
    </font>
    <font>
      <sz val="12"/>
      <color theme="1"/>
      <name val="Arial"/>
      <family val="2"/>
    </font>
    <font>
      <sz val="11"/>
      <color rgb="FF000000"/>
      <name val="Arial"/>
      <scheme val="minor"/>
    </font>
    <font>
      <b/>
      <sz val="11"/>
      <color rgb="FF000000"/>
      <name val="SansSerif"/>
      <family val="2"/>
    </font>
    <font>
      <sz val="11"/>
      <color rgb="FF000000"/>
      <name val="SansSerif"/>
      <family val="2"/>
    </font>
  </fonts>
  <fills count="24">
    <fill>
      <patternFill patternType="none"/>
    </fill>
    <fill>
      <patternFill patternType="gray125"/>
    </fill>
    <fill>
      <patternFill patternType="solid">
        <fgColor rgb="FFCCFFCC"/>
        <bgColor rgb="FFCCFFCC"/>
      </patternFill>
    </fill>
    <fill>
      <patternFill patternType="solid">
        <fgColor rgb="FFCCFFFF"/>
        <bgColor rgb="FFCCFFFF"/>
      </patternFill>
    </fill>
    <fill>
      <patternFill patternType="solid">
        <fgColor rgb="FFFFCC99"/>
        <bgColor rgb="FFFFCC99"/>
      </patternFill>
    </fill>
    <fill>
      <patternFill patternType="solid">
        <fgColor rgb="FFFFFF99"/>
        <bgColor rgb="FFFFFF99"/>
      </patternFill>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366092"/>
        <bgColor rgb="FF000000"/>
      </patternFill>
    </fill>
    <fill>
      <patternFill patternType="solid">
        <fgColor rgb="FFA6A6A6"/>
        <bgColor rgb="FF000000"/>
      </patternFill>
    </fill>
    <fill>
      <patternFill patternType="solid">
        <fgColor rgb="FFD9D9D9"/>
        <bgColor rgb="FF000000"/>
      </patternFill>
    </fill>
    <fill>
      <patternFill patternType="solid">
        <fgColor rgb="FFFFFFFF"/>
        <bgColor rgb="FFFFFFFF"/>
      </patternFill>
    </fill>
    <fill>
      <patternFill patternType="solid">
        <fgColor theme="4" tint="0.39997558519241921"/>
        <bgColor indexed="64"/>
      </patternFill>
    </fill>
    <fill>
      <patternFill patternType="solid">
        <fgColor rgb="FFFFFFFF"/>
      </patternFill>
    </fill>
    <fill>
      <patternFill patternType="solid">
        <fgColor rgb="FFDFDFDF"/>
      </patternFill>
    </fill>
    <fill>
      <patternFill patternType="solid">
        <fgColor rgb="FFCCCCCC"/>
      </patternFill>
    </fill>
  </fills>
  <borders count="83">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hair">
        <color rgb="FF000000"/>
      </bottom>
      <diagonal/>
    </border>
    <border>
      <left style="thin">
        <color rgb="FF000000"/>
      </left>
      <right/>
      <top/>
      <bottom style="hair">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style="thin">
        <color rgb="FFCCCCCC"/>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0" fontId="16" fillId="0" borderId="64"/>
    <xf numFmtId="0" fontId="17" fillId="0" borderId="64"/>
    <xf numFmtId="0" fontId="16" fillId="0" borderId="64"/>
    <xf numFmtId="0" fontId="14" fillId="0" borderId="64"/>
    <xf numFmtId="0" fontId="20" fillId="0" borderId="64"/>
    <xf numFmtId="0" fontId="2" fillId="0" borderId="64"/>
    <xf numFmtId="0" fontId="14" fillId="0" borderId="64"/>
    <xf numFmtId="0" fontId="14" fillId="0" borderId="64"/>
    <xf numFmtId="0" fontId="14" fillId="0" borderId="64"/>
    <xf numFmtId="43" fontId="14" fillId="0" borderId="64" applyFont="0" applyFill="0" applyBorder="0" applyAlignment="0" applyProtection="0"/>
    <xf numFmtId="0" fontId="1" fillId="0" borderId="64"/>
    <xf numFmtId="0" fontId="14" fillId="0" borderId="64"/>
    <xf numFmtId="0" fontId="16" fillId="0" borderId="64"/>
    <xf numFmtId="9" fontId="56" fillId="0" borderId="0" applyFont="0" applyFill="0" applyBorder="0" applyAlignment="0" applyProtection="0"/>
  </cellStyleXfs>
  <cellXfs count="607">
    <xf numFmtId="0" fontId="0" fillId="0" borderId="0" xfId="0"/>
    <xf numFmtId="0" fontId="3" fillId="0" borderId="0" xfId="0" applyFont="1"/>
    <xf numFmtId="0" fontId="6" fillId="2" borderId="4" xfId="0" applyFont="1" applyFill="1" applyBorder="1" applyAlignment="1">
      <alignment vertical="center"/>
    </xf>
    <xf numFmtId="0" fontId="6" fillId="2" borderId="5" xfId="0" applyFont="1" applyFill="1" applyBorder="1" applyAlignment="1">
      <alignment horizontal="center"/>
    </xf>
    <xf numFmtId="0" fontId="6" fillId="2" borderId="6" xfId="0" applyFont="1" applyFill="1" applyBorder="1" applyAlignment="1">
      <alignment horizontal="center"/>
    </xf>
    <xf numFmtId="2" fontId="3" fillId="5" borderId="8" xfId="0" applyNumberFormat="1" applyFont="1" applyFill="1" applyBorder="1" applyAlignment="1">
      <alignment horizontal="center"/>
    </xf>
    <xf numFmtId="2" fontId="3" fillId="5" borderId="9" xfId="0" applyNumberFormat="1" applyFont="1" applyFill="1" applyBorder="1" applyAlignment="1">
      <alignment horizontal="center"/>
    </xf>
    <xf numFmtId="2" fontId="3" fillId="5" borderId="10" xfId="0" applyNumberFormat="1" applyFont="1" applyFill="1" applyBorder="1" applyAlignment="1">
      <alignment horizontal="center"/>
    </xf>
    <xf numFmtId="2" fontId="3" fillId="5" borderId="6" xfId="0" applyNumberFormat="1" applyFont="1" applyFill="1" applyBorder="1" applyAlignment="1">
      <alignment horizontal="center"/>
    </xf>
    <xf numFmtId="2" fontId="3" fillId="0" borderId="0" xfId="0" applyNumberFormat="1" applyFont="1"/>
    <xf numFmtId="0" fontId="6" fillId="0" borderId="0" xfId="0" applyFont="1"/>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7" fillId="0" borderId="0" xfId="0" applyFont="1" applyAlignment="1">
      <alignment horizontal="right"/>
    </xf>
    <xf numFmtId="10" fontId="7" fillId="0" borderId="0" xfId="0" applyNumberFormat="1" applyFont="1"/>
    <xf numFmtId="0" fontId="3" fillId="0" borderId="0" xfId="0" applyFont="1" applyAlignment="1">
      <alignment vertical="center" wrapText="1"/>
    </xf>
    <xf numFmtId="164" fontId="3" fillId="5" borderId="7" xfId="0" applyNumberFormat="1" applyFont="1" applyFill="1" applyBorder="1" applyAlignment="1">
      <alignment horizontal="center"/>
    </xf>
    <xf numFmtId="164" fontId="3" fillId="5" borderId="11" xfId="0" applyNumberFormat="1" applyFont="1" applyFill="1" applyBorder="1" applyAlignment="1">
      <alignment horizontal="center"/>
    </xf>
    <xf numFmtId="0" fontId="3" fillId="0" borderId="22" xfId="0" applyFont="1" applyBorder="1" applyAlignment="1">
      <alignment vertical="center" wrapText="1"/>
    </xf>
    <xf numFmtId="0" fontId="3" fillId="0" borderId="23" xfId="0" applyFont="1" applyBorder="1"/>
    <xf numFmtId="0" fontId="7" fillId="0" borderId="24" xfId="0" applyFont="1" applyBorder="1" applyAlignment="1">
      <alignment horizontal="right"/>
    </xf>
    <xf numFmtId="164" fontId="7" fillId="0" borderId="25" xfId="0" applyNumberFormat="1" applyFont="1" applyBorder="1"/>
    <xf numFmtId="164" fontId="3" fillId="5" borderId="29" xfId="0" applyNumberFormat="1" applyFont="1" applyFill="1" applyBorder="1" applyAlignment="1">
      <alignment horizontal="center"/>
    </xf>
    <xf numFmtId="0" fontId="8" fillId="0" borderId="0" xfId="0" applyFont="1"/>
    <xf numFmtId="0" fontId="9" fillId="0" borderId="0" xfId="0" applyFont="1"/>
    <xf numFmtId="0" fontId="6" fillId="0" borderId="33" xfId="0" applyFont="1" applyBorder="1" applyAlignment="1">
      <alignment vertical="center" wrapText="1"/>
    </xf>
    <xf numFmtId="0" fontId="6" fillId="0" borderId="0" xfId="0" applyFont="1" applyAlignment="1">
      <alignment vertical="center" wrapText="1"/>
    </xf>
    <xf numFmtId="0" fontId="6" fillId="2" borderId="34" xfId="0" applyFont="1" applyFill="1" applyBorder="1" applyAlignment="1">
      <alignment horizontal="center"/>
    </xf>
    <xf numFmtId="0" fontId="6" fillId="2" borderId="35" xfId="0" applyFont="1" applyFill="1" applyBorder="1" applyAlignment="1">
      <alignment horizontal="center"/>
    </xf>
    <xf numFmtId="0" fontId="6" fillId="2" borderId="36" xfId="0" applyFont="1" applyFill="1" applyBorder="1" applyAlignment="1">
      <alignment horizontal="center"/>
    </xf>
    <xf numFmtId="0" fontId="6" fillId="0" borderId="0" xfId="0" applyFont="1" applyAlignment="1">
      <alignment horizontal="center"/>
    </xf>
    <xf numFmtId="0" fontId="3" fillId="3" borderId="37" xfId="0" applyFont="1" applyFill="1" applyBorder="1"/>
    <xf numFmtId="2" fontId="3" fillId="5" borderId="39" xfId="0" applyNumberFormat="1" applyFont="1" applyFill="1" applyBorder="1" applyAlignment="1">
      <alignment horizontal="center"/>
    </xf>
    <xf numFmtId="2" fontId="3" fillId="5" borderId="40" xfId="0" applyNumberFormat="1" applyFont="1" applyFill="1" applyBorder="1" applyAlignment="1">
      <alignment horizontal="center"/>
    </xf>
    <xf numFmtId="2" fontId="3" fillId="0" borderId="0" xfId="0" applyNumberFormat="1" applyFont="1" applyAlignment="1">
      <alignment horizontal="center"/>
    </xf>
    <xf numFmtId="0" fontId="3" fillId="3" borderId="41" xfId="0" applyFont="1" applyFill="1" applyBorder="1"/>
    <xf numFmtId="2" fontId="3" fillId="5" borderId="42" xfId="0" applyNumberFormat="1" applyFont="1" applyFill="1" applyBorder="1" applyAlignment="1">
      <alignment horizontal="center"/>
    </xf>
    <xf numFmtId="2" fontId="3" fillId="5" borderId="43" xfId="0" applyNumberFormat="1" applyFont="1" applyFill="1" applyBorder="1" applyAlignment="1">
      <alignment horizontal="center"/>
    </xf>
    <xf numFmtId="2" fontId="3" fillId="5" borderId="44" xfId="0" applyNumberFormat="1" applyFont="1" applyFill="1" applyBorder="1" applyAlignment="1">
      <alignment horizontal="center"/>
    </xf>
    <xf numFmtId="2" fontId="3" fillId="5" borderId="45" xfId="0" applyNumberFormat="1" applyFont="1" applyFill="1" applyBorder="1" applyAlignment="1">
      <alignment horizontal="center"/>
    </xf>
    <xf numFmtId="0" fontId="3" fillId="3" borderId="46" xfId="0" applyFont="1" applyFill="1" applyBorder="1"/>
    <xf numFmtId="164" fontId="3" fillId="5" borderId="57" xfId="0" applyNumberFormat="1" applyFont="1" applyFill="1" applyBorder="1" applyAlignment="1">
      <alignment horizontal="center" vertical="center"/>
    </xf>
    <xf numFmtId="164" fontId="3" fillId="5" borderId="58" xfId="0" applyNumberFormat="1" applyFont="1" applyFill="1" applyBorder="1" applyAlignment="1">
      <alignment horizontal="center" vertical="center"/>
    </xf>
    <xf numFmtId="0" fontId="3" fillId="0" borderId="59" xfId="0" applyFont="1" applyBorder="1"/>
    <xf numFmtId="0" fontId="3" fillId="0" borderId="60" xfId="0" applyFont="1" applyBorder="1"/>
    <xf numFmtId="0" fontId="3" fillId="0" borderId="61" xfId="0" applyFont="1" applyBorder="1"/>
    <xf numFmtId="0" fontId="3" fillId="0" borderId="0" xfId="0" applyFont="1" applyAlignment="1">
      <alignment horizontal="left" wrapText="1"/>
    </xf>
    <xf numFmtId="0" fontId="3" fillId="0" borderId="0" xfId="0" applyFont="1" applyAlignment="1">
      <alignment horizontal="left"/>
    </xf>
    <xf numFmtId="164" fontId="3" fillId="0" borderId="0" xfId="0" applyNumberFormat="1" applyFont="1" applyAlignment="1">
      <alignment horizontal="center" vertical="center"/>
    </xf>
    <xf numFmtId="0" fontId="3" fillId="0" borderId="33" xfId="0" applyFont="1" applyBorder="1"/>
    <xf numFmtId="0" fontId="3" fillId="0" borderId="62" xfId="0" applyFont="1" applyBorder="1"/>
    <xf numFmtId="164" fontId="3" fillId="0" borderId="0" xfId="0" applyNumberFormat="1" applyFont="1" applyAlignment="1">
      <alignment horizontal="center"/>
    </xf>
    <xf numFmtId="0" fontId="3" fillId="0" borderId="54" xfId="0" applyFont="1" applyBorder="1"/>
    <xf numFmtId="0" fontId="3" fillId="0" borderId="55" xfId="0" applyFont="1" applyBorder="1"/>
    <xf numFmtId="0" fontId="3" fillId="0" borderId="63" xfId="0" applyFont="1" applyBorder="1"/>
    <xf numFmtId="0" fontId="3" fillId="3" borderId="18" xfId="0" applyFont="1" applyFill="1" applyBorder="1"/>
    <xf numFmtId="0" fontId="3" fillId="3" borderId="21" xfId="0" applyFont="1" applyFill="1" applyBorder="1"/>
    <xf numFmtId="2" fontId="3" fillId="5" borderId="23" xfId="0" applyNumberFormat="1" applyFont="1" applyFill="1" applyBorder="1" applyAlignment="1">
      <alignment horizontal="center"/>
    </xf>
    <xf numFmtId="2" fontId="3" fillId="5" borderId="24" xfId="0" applyNumberFormat="1" applyFont="1" applyFill="1" applyBorder="1" applyAlignment="1">
      <alignment horizontal="center"/>
    </xf>
    <xf numFmtId="2" fontId="3" fillId="5" borderId="25" xfId="0" applyNumberFormat="1" applyFont="1" applyFill="1" applyBorder="1" applyAlignment="1">
      <alignment horizontal="center"/>
    </xf>
    <xf numFmtId="0" fontId="3" fillId="3" borderId="28" xfId="0" applyFont="1" applyFill="1" applyBorder="1"/>
    <xf numFmtId="10" fontId="7" fillId="0" borderId="66" xfId="0" applyNumberFormat="1" applyFont="1" applyBorder="1"/>
    <xf numFmtId="164" fontId="7" fillId="0" borderId="66" xfId="0" applyNumberFormat="1" applyFont="1" applyBorder="1"/>
    <xf numFmtId="0" fontId="6" fillId="4" borderId="55" xfId="0" applyFont="1" applyFill="1" applyBorder="1"/>
    <xf numFmtId="0" fontId="3" fillId="4" borderId="55" xfId="0" applyFont="1" applyFill="1" applyBorder="1"/>
    <xf numFmtId="0" fontId="6" fillId="2" borderId="51" xfId="0" applyFont="1" applyFill="1" applyBorder="1" applyAlignment="1">
      <alignment vertical="center"/>
    </xf>
    <xf numFmtId="0" fontId="19" fillId="0" borderId="64" xfId="2" applyFont="1" applyAlignment="1">
      <alignment vertical="center"/>
    </xf>
    <xf numFmtId="49" fontId="21" fillId="0" borderId="64" xfId="2" applyNumberFormat="1" applyFont="1" applyAlignment="1">
      <alignment horizontal="left" vertical="center"/>
    </xf>
    <xf numFmtId="0" fontId="21" fillId="0" borderId="64" xfId="2" applyFont="1" applyAlignment="1">
      <alignment horizontal="center" vertical="center" wrapText="1"/>
    </xf>
    <xf numFmtId="4" fontId="21" fillId="0" borderId="64" xfId="2" applyNumberFormat="1" applyFont="1" applyAlignment="1">
      <alignment vertical="center" wrapText="1"/>
    </xf>
    <xf numFmtId="49" fontId="15" fillId="0" borderId="64" xfId="2" applyNumberFormat="1" applyFont="1" applyAlignment="1">
      <alignment horizontal="center" vertical="center" wrapText="1"/>
    </xf>
    <xf numFmtId="49" fontId="21" fillId="0" borderId="64" xfId="2" applyNumberFormat="1" applyFont="1" applyAlignment="1">
      <alignment vertical="center"/>
    </xf>
    <xf numFmtId="49" fontId="15" fillId="0" borderId="64" xfId="2" applyNumberFormat="1" applyFont="1" applyAlignment="1">
      <alignment vertical="center" wrapText="1"/>
    </xf>
    <xf numFmtId="0" fontId="14" fillId="0" borderId="64" xfId="4"/>
    <xf numFmtId="49" fontId="24" fillId="0" borderId="64" xfId="2" applyNumberFormat="1" applyFont="1" applyAlignment="1">
      <alignment vertical="center"/>
    </xf>
    <xf numFmtId="2" fontId="24" fillId="0" borderId="64" xfId="2" applyNumberFormat="1" applyFont="1" applyAlignment="1">
      <alignment vertical="center" wrapText="1"/>
    </xf>
    <xf numFmtId="39" fontId="3" fillId="4" borderId="64" xfId="0" applyNumberFormat="1" applyFont="1" applyFill="1" applyBorder="1" applyAlignment="1">
      <alignment horizontal="center"/>
    </xf>
    <xf numFmtId="0" fontId="3" fillId="0" borderId="64" xfId="4" applyFont="1"/>
    <xf numFmtId="0" fontId="6" fillId="2" borderId="4" xfId="4" applyFont="1" applyFill="1" applyBorder="1" applyAlignment="1">
      <alignment vertical="center"/>
    </xf>
    <xf numFmtId="0" fontId="6" fillId="2" borderId="5" xfId="4" applyFont="1" applyFill="1" applyBorder="1" applyAlignment="1">
      <alignment horizontal="center"/>
    </xf>
    <xf numFmtId="0" fontId="6" fillId="2" borderId="6" xfId="4" applyFont="1" applyFill="1" applyBorder="1" applyAlignment="1">
      <alignment horizontal="center"/>
    </xf>
    <xf numFmtId="0" fontId="3" fillId="3" borderId="18" xfId="4" applyFont="1" applyFill="1" applyBorder="1"/>
    <xf numFmtId="39" fontId="3" fillId="4" borderId="7" xfId="4" applyNumberFormat="1" applyFont="1" applyFill="1" applyBorder="1" applyAlignment="1">
      <alignment horizontal="center"/>
    </xf>
    <xf numFmtId="2" fontId="3" fillId="5" borderId="8" xfId="4" applyNumberFormat="1" applyFont="1" applyFill="1" applyBorder="1" applyAlignment="1">
      <alignment horizontal="center"/>
    </xf>
    <xf numFmtId="2" fontId="3" fillId="5" borderId="9" xfId="4" applyNumberFormat="1" applyFont="1" applyFill="1" applyBorder="1" applyAlignment="1">
      <alignment horizontal="center"/>
    </xf>
    <xf numFmtId="2" fontId="3" fillId="5" borderId="10" xfId="4" applyNumberFormat="1" applyFont="1" applyFill="1" applyBorder="1" applyAlignment="1">
      <alignment horizontal="center"/>
    </xf>
    <xf numFmtId="0" fontId="3" fillId="3" borderId="21" xfId="4" applyFont="1" applyFill="1" applyBorder="1"/>
    <xf numFmtId="39" fontId="3" fillId="4" borderId="11" xfId="4" applyNumberFormat="1" applyFont="1" applyFill="1" applyBorder="1" applyAlignment="1">
      <alignment horizontal="center"/>
    </xf>
    <xf numFmtId="2" fontId="3" fillId="5" borderId="23" xfId="4" applyNumberFormat="1" applyFont="1" applyFill="1" applyBorder="1" applyAlignment="1">
      <alignment horizontal="center"/>
    </xf>
    <xf numFmtId="2" fontId="3" fillId="5" borderId="6" xfId="4" applyNumberFormat="1" applyFont="1" applyFill="1" applyBorder="1" applyAlignment="1">
      <alignment horizontal="center"/>
    </xf>
    <xf numFmtId="2" fontId="3" fillId="5" borderId="24" xfId="4" applyNumberFormat="1" applyFont="1" applyFill="1" applyBorder="1" applyAlignment="1">
      <alignment horizontal="center"/>
    </xf>
    <xf numFmtId="2" fontId="3" fillId="5" borderId="25" xfId="4" applyNumberFormat="1" applyFont="1" applyFill="1" applyBorder="1" applyAlignment="1">
      <alignment horizontal="center"/>
    </xf>
    <xf numFmtId="0" fontId="3" fillId="3" borderId="28" xfId="4" applyFont="1" applyFill="1" applyBorder="1"/>
    <xf numFmtId="39" fontId="3" fillId="4" borderId="26" xfId="4" applyNumberFormat="1" applyFont="1" applyFill="1" applyBorder="1" applyAlignment="1">
      <alignment horizontal="center"/>
    </xf>
    <xf numFmtId="2" fontId="3" fillId="0" borderId="64" xfId="4" applyNumberFormat="1" applyFont="1"/>
    <xf numFmtId="0" fontId="6" fillId="0" borderId="64" xfId="4" applyFont="1"/>
    <xf numFmtId="0" fontId="6" fillId="0" borderId="14" xfId="4" applyFont="1" applyBorder="1" applyAlignment="1">
      <alignment horizontal="center"/>
    </xf>
    <xf numFmtId="0" fontId="6" fillId="0" borderId="15" xfId="4" applyFont="1" applyBorder="1" applyAlignment="1">
      <alignment horizontal="center"/>
    </xf>
    <xf numFmtId="0" fontId="6" fillId="0" borderId="16" xfId="4" applyFont="1" applyBorder="1" applyAlignment="1">
      <alignment horizontal="center"/>
    </xf>
    <xf numFmtId="0" fontId="7" fillId="0" borderId="64" xfId="4" applyFont="1" applyAlignment="1">
      <alignment horizontal="right"/>
    </xf>
    <xf numFmtId="10" fontId="7" fillId="0" borderId="64" xfId="4" applyNumberFormat="1" applyFont="1"/>
    <xf numFmtId="0" fontId="3" fillId="0" borderId="64" xfId="4" applyFont="1" applyAlignment="1">
      <alignment vertical="center" wrapText="1"/>
    </xf>
    <xf numFmtId="164" fontId="3" fillId="5" borderId="7" xfId="4" applyNumberFormat="1" applyFont="1" applyFill="1" applyBorder="1" applyAlignment="1">
      <alignment horizontal="center"/>
    </xf>
    <xf numFmtId="164" fontId="3" fillId="5" borderId="11" xfId="4" applyNumberFormat="1" applyFont="1" applyFill="1" applyBorder="1" applyAlignment="1">
      <alignment horizontal="center"/>
    </xf>
    <xf numFmtId="0" fontId="3" fillId="0" borderId="22" xfId="4" applyFont="1" applyBorder="1" applyAlignment="1">
      <alignment vertical="center" wrapText="1"/>
    </xf>
    <xf numFmtId="0" fontId="3" fillId="0" borderId="23" xfId="4" applyFont="1" applyBorder="1"/>
    <xf numFmtId="0" fontId="7" fillId="0" borderId="24" xfId="4" applyFont="1" applyBorder="1" applyAlignment="1">
      <alignment horizontal="right"/>
    </xf>
    <xf numFmtId="10" fontId="7" fillId="0" borderId="66" xfId="4" applyNumberFormat="1" applyFont="1" applyBorder="1"/>
    <xf numFmtId="164" fontId="7" fillId="0" borderId="66" xfId="4" applyNumberFormat="1" applyFont="1" applyBorder="1"/>
    <xf numFmtId="164" fontId="7" fillId="0" borderId="25" xfId="4" applyNumberFormat="1" applyFont="1" applyBorder="1"/>
    <xf numFmtId="164" fontId="3" fillId="5" borderId="29" xfId="4" applyNumberFormat="1" applyFont="1" applyFill="1" applyBorder="1" applyAlignment="1">
      <alignment horizontal="center"/>
    </xf>
    <xf numFmtId="0" fontId="6" fillId="4" borderId="55" xfId="4" applyFont="1" applyFill="1" applyBorder="1"/>
    <xf numFmtId="0" fontId="3" fillId="4" borderId="55" xfId="4" applyFont="1" applyFill="1" applyBorder="1"/>
    <xf numFmtId="0" fontId="8" fillId="0" borderId="64" xfId="4" applyFont="1"/>
    <xf numFmtId="39" fontId="3" fillId="4" borderId="38" xfId="4" applyNumberFormat="1" applyFont="1" applyFill="1" applyBorder="1" applyAlignment="1">
      <alignment horizontal="center"/>
    </xf>
    <xf numFmtId="39" fontId="3" fillId="4" borderId="47" xfId="4" applyNumberFormat="1" applyFont="1" applyFill="1" applyBorder="1" applyAlignment="1">
      <alignment horizontal="center"/>
    </xf>
    <xf numFmtId="10" fontId="19" fillId="12" borderId="69" xfId="2" applyNumberFormat="1" applyFont="1" applyFill="1" applyBorder="1" applyAlignment="1">
      <alignment horizontal="center" vertical="center"/>
    </xf>
    <xf numFmtId="0" fontId="28" fillId="8" borderId="64" xfId="0" applyFont="1" applyFill="1" applyBorder="1"/>
    <xf numFmtId="0" fontId="28" fillId="0" borderId="64" xfId="0" applyFont="1" applyBorder="1"/>
    <xf numFmtId="0" fontId="30" fillId="0" borderId="0" xfId="0" applyFont="1" applyAlignment="1">
      <alignment horizontal="left" vertical="center"/>
    </xf>
    <xf numFmtId="49" fontId="30" fillId="0" borderId="64" xfId="2" applyNumberFormat="1" applyFont="1" applyAlignment="1">
      <alignment horizontal="left" vertical="center"/>
    </xf>
    <xf numFmtId="0" fontId="31" fillId="0" borderId="0" xfId="0" applyFont="1" applyAlignment="1">
      <alignment vertical="center"/>
    </xf>
    <xf numFmtId="0" fontId="30" fillId="0" borderId="64" xfId="2" applyFont="1" applyAlignment="1">
      <alignment horizontal="center" vertical="center" wrapText="1"/>
    </xf>
    <xf numFmtId="4" fontId="30" fillId="0" borderId="64" xfId="2" applyNumberFormat="1" applyFont="1" applyAlignment="1">
      <alignment vertical="center" wrapText="1"/>
    </xf>
    <xf numFmtId="49" fontId="32" fillId="0" borderId="64" xfId="2" applyNumberFormat="1" applyFont="1" applyAlignment="1">
      <alignment horizontal="center" vertical="center" wrapText="1"/>
    </xf>
    <xf numFmtId="0" fontId="30" fillId="0" borderId="64" xfId="2" applyFont="1" applyAlignment="1">
      <alignment horizontal="center" vertical="center"/>
    </xf>
    <xf numFmtId="0" fontId="28" fillId="8" borderId="0" xfId="0" applyFont="1" applyFill="1"/>
    <xf numFmtId="0" fontId="28" fillId="0" borderId="0" xfId="0" applyFont="1"/>
    <xf numFmtId="0" fontId="27" fillId="0" borderId="0" xfId="0" applyFont="1"/>
    <xf numFmtId="49" fontId="30" fillId="0" borderId="64" xfId="2" applyNumberFormat="1" applyFont="1" applyAlignment="1">
      <alignment vertical="center"/>
    </xf>
    <xf numFmtId="10" fontId="30" fillId="12" borderId="69" xfId="2" applyNumberFormat="1" applyFont="1" applyFill="1" applyBorder="1" applyAlignment="1">
      <alignment horizontal="center" vertical="center"/>
    </xf>
    <xf numFmtId="49" fontId="29" fillId="0" borderId="64" xfId="2" applyNumberFormat="1" applyFont="1" applyAlignment="1">
      <alignment vertical="center" wrapText="1"/>
    </xf>
    <xf numFmtId="0" fontId="34" fillId="0" borderId="0" xfId="0" applyFont="1" applyAlignment="1">
      <alignment horizontal="left" vertical="center"/>
    </xf>
    <xf numFmtId="165" fontId="34" fillId="0" borderId="0" xfId="0" applyNumberFormat="1" applyFont="1" applyAlignment="1">
      <alignment horizontal="left" vertical="center" wrapText="1"/>
    </xf>
    <xf numFmtId="4" fontId="35" fillId="0" borderId="0" xfId="0" applyNumberFormat="1" applyFont="1" applyAlignment="1">
      <alignment horizontal="right" vertical="center"/>
    </xf>
    <xf numFmtId="0" fontId="26" fillId="0" borderId="0" xfId="0" applyFont="1" applyAlignment="1">
      <alignment horizontal="left" vertical="center"/>
    </xf>
    <xf numFmtId="10" fontId="26" fillId="0" borderId="0" xfId="0" applyNumberFormat="1" applyFont="1" applyAlignment="1">
      <alignment horizontal="left" vertical="center"/>
    </xf>
    <xf numFmtId="0" fontId="30" fillId="0" borderId="0" xfId="0" applyFont="1" applyAlignment="1">
      <alignment vertical="center"/>
    </xf>
    <xf numFmtId="0" fontId="32" fillId="20" borderId="76" xfId="0" applyFont="1" applyFill="1" applyBorder="1" applyAlignment="1">
      <alignment horizontal="center" vertical="center" wrapText="1"/>
    </xf>
    <xf numFmtId="0" fontId="28" fillId="0" borderId="64" xfId="0" applyFont="1" applyBorder="1" applyAlignment="1" applyProtection="1">
      <alignment wrapText="1"/>
      <protection locked="0"/>
    </xf>
    <xf numFmtId="0" fontId="36" fillId="21" borderId="0" xfId="0" applyFont="1" applyFill="1" applyAlignment="1">
      <alignment horizontal="center" vertical="top" wrapText="1"/>
    </xf>
    <xf numFmtId="0" fontId="37" fillId="8" borderId="64" xfId="0" applyFont="1" applyFill="1" applyBorder="1" applyAlignment="1" applyProtection="1">
      <alignment horizontal="left" vertical="center" wrapText="1"/>
      <protection locked="0"/>
    </xf>
    <xf numFmtId="0" fontId="28" fillId="8" borderId="64" xfId="4" applyFont="1" applyFill="1"/>
    <xf numFmtId="0" fontId="28" fillId="0" borderId="64" xfId="4" applyFont="1"/>
    <xf numFmtId="0" fontId="36" fillId="21" borderId="64" xfId="0" applyFont="1" applyFill="1" applyBorder="1" applyAlignment="1">
      <alignment horizontal="center" vertical="top" wrapText="1"/>
    </xf>
    <xf numFmtId="0" fontId="32" fillId="0" borderId="78" xfId="0" applyFont="1" applyBorder="1" applyAlignment="1">
      <alignment horizontal="center" vertical="center" wrapText="1"/>
    </xf>
    <xf numFmtId="0" fontId="18" fillId="0" borderId="64" xfId="12" applyFont="1" applyAlignment="1">
      <alignment vertical="center" wrapText="1"/>
    </xf>
    <xf numFmtId="0" fontId="18" fillId="0" borderId="64" xfId="12" applyFont="1" applyAlignment="1">
      <alignment vertical="center"/>
    </xf>
    <xf numFmtId="0" fontId="14" fillId="8" borderId="64" xfId="12" applyFill="1"/>
    <xf numFmtId="0" fontId="14" fillId="0" borderId="64" xfId="12"/>
    <xf numFmtId="0" fontId="21" fillId="0" borderId="64" xfId="12" applyFont="1" applyAlignment="1">
      <alignment horizontal="left" vertical="center"/>
    </xf>
    <xf numFmtId="0" fontId="22" fillId="0" borderId="64" xfId="12" applyFont="1" applyAlignment="1">
      <alignment vertical="center"/>
    </xf>
    <xf numFmtId="4" fontId="22" fillId="0" borderId="64" xfId="12" applyNumberFormat="1" applyFont="1" applyAlignment="1">
      <alignment vertical="center"/>
    </xf>
    <xf numFmtId="0" fontId="9" fillId="15" borderId="64" xfId="12" applyFont="1" applyFill="1"/>
    <xf numFmtId="0" fontId="9" fillId="0" borderId="64" xfId="12" applyFont="1"/>
    <xf numFmtId="0" fontId="9" fillId="19" borderId="64" xfId="12" applyFont="1" applyFill="1"/>
    <xf numFmtId="0" fontId="24" fillId="0" borderId="64" xfId="2" applyFont="1" applyAlignment="1">
      <alignment vertical="center"/>
    </xf>
    <xf numFmtId="0" fontId="9" fillId="0" borderId="64" xfId="12" applyFont="1" applyAlignment="1">
      <alignment horizontal="left"/>
    </xf>
    <xf numFmtId="0" fontId="4" fillId="0" borderId="64" xfId="12" applyFont="1" applyAlignment="1">
      <alignment horizontal="left" vertical="center"/>
    </xf>
    <xf numFmtId="165" fontId="4" fillId="0" borderId="64" xfId="12" applyNumberFormat="1" applyFont="1" applyAlignment="1">
      <alignment horizontal="left" vertical="center" wrapText="1"/>
    </xf>
    <xf numFmtId="4" fontId="12" fillId="0" borderId="64" xfId="12" applyNumberFormat="1" applyFont="1" applyAlignment="1">
      <alignment horizontal="right" vertical="center"/>
    </xf>
    <xf numFmtId="0" fontId="10" fillId="0" borderId="64" xfId="12" applyFont="1"/>
    <xf numFmtId="0" fontId="11" fillId="0" borderId="64" xfId="12" applyFont="1" applyAlignment="1">
      <alignment horizontal="left" vertical="center"/>
    </xf>
    <xf numFmtId="0" fontId="19" fillId="0" borderId="64" xfId="12" applyFont="1" applyAlignment="1">
      <alignment vertical="center"/>
    </xf>
    <xf numFmtId="0" fontId="13" fillId="0" borderId="64" xfId="12" applyFont="1" applyAlignment="1">
      <alignment vertical="center" wrapText="1"/>
    </xf>
    <xf numFmtId="0" fontId="16" fillId="0" borderId="64" xfId="13"/>
    <xf numFmtId="0" fontId="25" fillId="21" borderId="64" xfId="13" applyFont="1" applyFill="1" applyAlignment="1">
      <alignment vertical="top" wrapText="1"/>
    </xf>
    <xf numFmtId="4" fontId="31" fillId="0" borderId="0" xfId="0" applyNumberFormat="1" applyFont="1" applyAlignment="1">
      <alignment vertical="center"/>
    </xf>
    <xf numFmtId="49" fontId="29" fillId="0" borderId="64" xfId="2" applyNumberFormat="1" applyFont="1" applyAlignment="1">
      <alignment vertical="center"/>
    </xf>
    <xf numFmtId="4" fontId="38" fillId="0" borderId="0" xfId="0" applyNumberFormat="1" applyFont="1" applyAlignment="1">
      <alignment vertical="center"/>
    </xf>
    <xf numFmtId="49" fontId="30" fillId="13" borderId="0" xfId="0" applyNumberFormat="1" applyFont="1" applyFill="1" applyAlignment="1">
      <alignment vertical="center"/>
    </xf>
    <xf numFmtId="0" fontId="30" fillId="0" borderId="64" xfId="2" applyFont="1" applyAlignment="1">
      <alignment vertical="center"/>
    </xf>
    <xf numFmtId="2" fontId="29" fillId="0" borderId="64" xfId="2" applyNumberFormat="1" applyFont="1" applyAlignment="1">
      <alignment vertical="center" wrapText="1"/>
    </xf>
    <xf numFmtId="0" fontId="27" fillId="6" borderId="64" xfId="0" applyFont="1" applyFill="1" applyBorder="1"/>
    <xf numFmtId="0" fontId="41" fillId="0" borderId="0" xfId="0" applyFont="1"/>
    <xf numFmtId="0" fontId="37" fillId="8" borderId="64" xfId="0" applyFont="1" applyFill="1" applyBorder="1" applyAlignment="1" applyProtection="1">
      <alignment wrapText="1"/>
      <protection locked="0"/>
    </xf>
    <xf numFmtId="0" fontId="36" fillId="8" borderId="64" xfId="4" applyFont="1" applyFill="1" applyAlignment="1">
      <alignment vertical="top"/>
    </xf>
    <xf numFmtId="0" fontId="9" fillId="8" borderId="64" xfId="12" applyFont="1" applyFill="1"/>
    <xf numFmtId="0" fontId="13" fillId="8" borderId="64" xfId="12" applyFont="1" applyFill="1" applyAlignment="1">
      <alignment vertical="center" wrapText="1"/>
    </xf>
    <xf numFmtId="0" fontId="9" fillId="8" borderId="64" xfId="12" applyFont="1" applyFill="1" applyAlignment="1">
      <alignment horizontal="left"/>
    </xf>
    <xf numFmtId="49" fontId="29" fillId="0" borderId="64" xfId="2" applyNumberFormat="1" applyFont="1" applyAlignment="1">
      <alignment horizontal="left" vertical="center"/>
    </xf>
    <xf numFmtId="0" fontId="30" fillId="0" borderId="64" xfId="0" applyFont="1" applyBorder="1" applyAlignment="1">
      <alignment horizontal="left" vertical="center"/>
    </xf>
    <xf numFmtId="0" fontId="31" fillId="0" borderId="64" xfId="0" applyFont="1" applyBorder="1" applyAlignment="1">
      <alignment vertical="center"/>
    </xf>
    <xf numFmtId="4" fontId="31" fillId="0" borderId="64" xfId="0" applyNumberFormat="1" applyFont="1" applyBorder="1" applyAlignment="1">
      <alignment vertical="center"/>
    </xf>
    <xf numFmtId="0" fontId="28" fillId="15" borderId="64" xfId="0" applyFont="1" applyFill="1" applyBorder="1"/>
    <xf numFmtId="49" fontId="27" fillId="0" borderId="0" xfId="0" applyNumberFormat="1" applyFont="1"/>
    <xf numFmtId="2" fontId="27" fillId="0" borderId="0" xfId="0" applyNumberFormat="1" applyFont="1"/>
    <xf numFmtId="49" fontId="26" fillId="7" borderId="65" xfId="0" applyNumberFormat="1" applyFont="1" applyFill="1" applyBorder="1" applyAlignment="1">
      <alignment horizontal="center" vertical="center"/>
    </xf>
    <xf numFmtId="0" fontId="28" fillId="0" borderId="0" xfId="0" applyFont="1" applyAlignment="1">
      <alignment vertical="center"/>
    </xf>
    <xf numFmtId="49" fontId="28" fillId="0" borderId="0" xfId="0" applyNumberFormat="1" applyFont="1"/>
    <xf numFmtId="0" fontId="39" fillId="0" borderId="0" xfId="0" applyFont="1"/>
    <xf numFmtId="2" fontId="39" fillId="0" borderId="0" xfId="0" applyNumberFormat="1" applyFont="1"/>
    <xf numFmtId="2" fontId="28" fillId="0" borderId="0" xfId="0" applyNumberFormat="1" applyFont="1"/>
    <xf numFmtId="49" fontId="26" fillId="0" borderId="0" xfId="0" applyNumberFormat="1" applyFont="1" applyAlignment="1">
      <alignment horizontal="center" vertical="center"/>
    </xf>
    <xf numFmtId="49" fontId="26" fillId="0" borderId="64" xfId="0" applyNumberFormat="1" applyFont="1" applyBorder="1" applyAlignment="1">
      <alignment horizontal="center" vertical="center"/>
    </xf>
    <xf numFmtId="0" fontId="41" fillId="0" borderId="64" xfId="0" applyFont="1" applyBorder="1"/>
    <xf numFmtId="4" fontId="28" fillId="0" borderId="0" xfId="0" applyNumberFormat="1" applyFont="1"/>
    <xf numFmtId="0" fontId="44" fillId="0" borderId="0" xfId="0" applyFont="1"/>
    <xf numFmtId="0" fontId="27" fillId="0" borderId="0" xfId="0" applyFont="1" applyAlignment="1">
      <alignment horizontal="center" vertical="center"/>
    </xf>
    <xf numFmtId="2" fontId="26" fillId="0" borderId="0" xfId="0" applyNumberFormat="1" applyFont="1"/>
    <xf numFmtId="49" fontId="28" fillId="0" borderId="0" xfId="0" applyNumberFormat="1" applyFont="1" applyAlignment="1">
      <alignment horizontal="center"/>
    </xf>
    <xf numFmtId="49" fontId="32" fillId="0" borderId="64" xfId="0" applyNumberFormat="1" applyFont="1" applyBorder="1" applyAlignment="1">
      <alignment horizontal="center" vertical="center"/>
    </xf>
    <xf numFmtId="49" fontId="26" fillId="7" borderId="68" xfId="0" applyNumberFormat="1" applyFont="1" applyFill="1" applyBorder="1" applyAlignment="1">
      <alignment horizontal="center" vertical="center"/>
    </xf>
    <xf numFmtId="49" fontId="32" fillId="7" borderId="65" xfId="0" applyNumberFormat="1" applyFont="1" applyFill="1" applyBorder="1" applyAlignment="1">
      <alignment horizontal="center" vertical="center"/>
    </xf>
    <xf numFmtId="49" fontId="32" fillId="10" borderId="68" xfId="0" applyNumberFormat="1" applyFont="1" applyFill="1" applyBorder="1" applyAlignment="1">
      <alignment horizontal="center" vertical="center"/>
    </xf>
    <xf numFmtId="0" fontId="32" fillId="0" borderId="64" xfId="0" applyFont="1" applyBorder="1" applyAlignment="1">
      <alignment horizontal="left" vertical="center"/>
    </xf>
    <xf numFmtId="0" fontId="49" fillId="8" borderId="64" xfId="0" applyFont="1" applyFill="1" applyBorder="1"/>
    <xf numFmtId="0" fontId="49" fillId="0" borderId="64" xfId="0" applyFont="1" applyBorder="1"/>
    <xf numFmtId="0" fontId="29" fillId="0" borderId="64" xfId="0" applyFont="1" applyBorder="1" applyAlignment="1">
      <alignment horizontal="left" vertical="center"/>
    </xf>
    <xf numFmtId="0" fontId="46" fillId="0" borderId="64" xfId="0" applyFont="1" applyBorder="1" applyAlignment="1">
      <alignment vertical="center"/>
    </xf>
    <xf numFmtId="0" fontId="29" fillId="0" borderId="64" xfId="2" applyFont="1" applyAlignment="1">
      <alignment horizontal="center" vertical="center" wrapText="1"/>
    </xf>
    <xf numFmtId="4" fontId="29" fillId="0" borderId="64" xfId="2" applyNumberFormat="1" applyFont="1" applyAlignment="1">
      <alignment vertical="center" wrapText="1"/>
    </xf>
    <xf numFmtId="49" fontId="29" fillId="0" borderId="64" xfId="2" applyNumberFormat="1" applyFont="1" applyAlignment="1">
      <alignment horizontal="center" vertical="center" wrapText="1"/>
    </xf>
    <xf numFmtId="0" fontId="29" fillId="0" borderId="64" xfId="2" applyFont="1" applyAlignment="1">
      <alignment horizontal="center" vertical="center"/>
    </xf>
    <xf numFmtId="4" fontId="46" fillId="0" borderId="64" xfId="0" applyNumberFormat="1" applyFont="1" applyBorder="1" applyAlignment="1">
      <alignment vertical="center"/>
    </xf>
    <xf numFmtId="0" fontId="49" fillId="15" borderId="64" xfId="0" applyFont="1" applyFill="1" applyBorder="1"/>
    <xf numFmtId="0" fontId="45" fillId="0" borderId="0" xfId="0" applyFont="1" applyAlignment="1">
      <alignment horizontal="left" vertical="center"/>
    </xf>
    <xf numFmtId="0" fontId="49" fillId="0" borderId="0" xfId="0" applyFont="1"/>
    <xf numFmtId="165" fontId="45" fillId="0" borderId="0" xfId="0" applyNumberFormat="1" applyFont="1" applyAlignment="1">
      <alignment horizontal="left" vertical="center" wrapText="1"/>
    </xf>
    <xf numFmtId="4" fontId="44" fillId="0" borderId="0" xfId="0" applyNumberFormat="1" applyFont="1" applyAlignment="1">
      <alignment horizontal="right" vertical="center"/>
    </xf>
    <xf numFmtId="10" fontId="45" fillId="0" borderId="0" xfId="0" applyNumberFormat="1" applyFont="1" applyAlignment="1">
      <alignment horizontal="left" vertical="center"/>
    </xf>
    <xf numFmtId="0" fontId="44" fillId="6" borderId="64" xfId="0" applyFont="1" applyFill="1" applyBorder="1"/>
    <xf numFmtId="0" fontId="29" fillId="0" borderId="0" xfId="0" applyFont="1" applyAlignment="1">
      <alignment vertical="center"/>
    </xf>
    <xf numFmtId="0" fontId="49" fillId="8" borderId="0" xfId="0" applyFont="1" applyFill="1"/>
    <xf numFmtId="0" fontId="50" fillId="0" borderId="64" xfId="0" applyFont="1" applyBorder="1"/>
    <xf numFmtId="0" fontId="28" fillId="19" borderId="64" xfId="0" applyFont="1" applyFill="1" applyBorder="1"/>
    <xf numFmtId="49" fontId="29" fillId="0" borderId="64" xfId="2" applyNumberFormat="1" applyFont="1" applyAlignment="1">
      <alignment horizontal="right" vertical="center"/>
    </xf>
    <xf numFmtId="0" fontId="29" fillId="0" borderId="64" xfId="2" applyFont="1" applyAlignment="1">
      <alignment horizontal="left" vertical="center"/>
    </xf>
    <xf numFmtId="0" fontId="38" fillId="8" borderId="0" xfId="0" applyFont="1" applyFill="1" applyAlignment="1">
      <alignment horizontal="center" vertical="top" wrapText="1"/>
    </xf>
    <xf numFmtId="0" fontId="37" fillId="8" borderId="64" xfId="0" applyFont="1" applyFill="1" applyBorder="1" applyAlignment="1">
      <alignment horizontal="left" vertical="top" wrapText="1"/>
    </xf>
    <xf numFmtId="0" fontId="42" fillId="8" borderId="64" xfId="0" applyFont="1" applyFill="1" applyBorder="1" applyAlignment="1">
      <alignment horizontal="right" vertical="center" wrapText="1"/>
    </xf>
    <xf numFmtId="4" fontId="42" fillId="8" borderId="64" xfId="0" applyNumberFormat="1" applyFont="1" applyFill="1" applyBorder="1" applyAlignment="1">
      <alignment horizontal="right" vertical="center" wrapText="1"/>
    </xf>
    <xf numFmtId="0" fontId="37" fillId="8" borderId="0" xfId="0" applyFont="1" applyFill="1"/>
    <xf numFmtId="0" fontId="49" fillId="0" borderId="64" xfId="4" applyFont="1"/>
    <xf numFmtId="0" fontId="39" fillId="0" borderId="64" xfId="0" applyFont="1" applyBorder="1" applyAlignment="1">
      <alignment horizontal="right" vertical="center" wrapText="1"/>
    </xf>
    <xf numFmtId="4" fontId="39" fillId="0" borderId="64" xfId="0" applyNumberFormat="1" applyFont="1" applyBorder="1" applyAlignment="1">
      <alignment horizontal="right" vertical="center" wrapText="1"/>
    </xf>
    <xf numFmtId="0" fontId="14" fillId="0" borderId="0" xfId="0" applyFont="1"/>
    <xf numFmtId="0" fontId="28" fillId="22" borderId="77" xfId="0" applyFont="1" applyFill="1" applyBorder="1" applyAlignment="1">
      <alignment horizontal="center" vertical="center" wrapText="1"/>
    </xf>
    <xf numFmtId="0" fontId="28" fillId="22" borderId="12" xfId="0" applyFont="1" applyFill="1" applyBorder="1" applyAlignment="1">
      <alignment horizontal="center" vertical="center" wrapText="1"/>
    </xf>
    <xf numFmtId="0" fontId="32" fillId="20" borderId="78" xfId="0" applyFont="1" applyFill="1" applyBorder="1" applyAlignment="1">
      <alignment horizontal="center" vertical="center" wrapText="1"/>
    </xf>
    <xf numFmtId="0" fontId="54" fillId="10" borderId="70" xfId="0" applyFont="1" applyFill="1" applyBorder="1" applyAlignment="1">
      <alignment horizontal="left" vertical="center" wrapText="1"/>
    </xf>
    <xf numFmtId="0" fontId="54" fillId="10" borderId="68" xfId="0" applyFont="1" applyFill="1" applyBorder="1" applyAlignment="1">
      <alignment vertical="center"/>
    </xf>
    <xf numFmtId="4" fontId="54" fillId="10" borderId="71" xfId="0" applyNumberFormat="1" applyFont="1" applyFill="1" applyBorder="1" applyAlignment="1">
      <alignment horizontal="right" vertical="center" wrapText="1"/>
    </xf>
    <xf numFmtId="49" fontId="32" fillId="0" borderId="66" xfId="0" applyNumberFormat="1" applyFont="1" applyBorder="1" applyAlignment="1">
      <alignment horizontal="center" vertical="center"/>
    </xf>
    <xf numFmtId="49" fontId="26" fillId="0" borderId="66" xfId="0" applyNumberFormat="1" applyFont="1" applyBorder="1" applyAlignment="1">
      <alignment horizontal="center" vertical="center"/>
    </xf>
    <xf numFmtId="0" fontId="26" fillId="0" borderId="0" xfId="0" applyFont="1" applyAlignment="1">
      <alignment horizontal="left" wrapText="1"/>
    </xf>
    <xf numFmtId="49" fontId="32" fillId="0" borderId="67" xfId="0" applyNumberFormat="1" applyFont="1" applyBorder="1" applyAlignment="1">
      <alignment horizontal="center" vertical="center"/>
    </xf>
    <xf numFmtId="2" fontId="41" fillId="0" borderId="0" xfId="0" applyNumberFormat="1" applyFont="1"/>
    <xf numFmtId="0" fontId="32" fillId="0" borderId="64" xfId="0" applyFont="1" applyBorder="1" applyAlignment="1">
      <alignment horizontal="left" wrapText="1"/>
    </xf>
    <xf numFmtId="2" fontId="28" fillId="0" borderId="0" xfId="0" applyNumberFormat="1" applyFont="1" applyAlignment="1">
      <alignment vertical="center"/>
    </xf>
    <xf numFmtId="2" fontId="43" fillId="0" borderId="0" xfId="0" applyNumberFormat="1" applyFont="1"/>
    <xf numFmtId="0" fontId="27" fillId="0" borderId="0" xfId="0" applyFont="1" applyAlignment="1">
      <alignment horizontal="left" vertical="center" wrapText="1"/>
    </xf>
    <xf numFmtId="49" fontId="15" fillId="0" borderId="67" xfId="0" applyNumberFormat="1" applyFont="1" applyBorder="1" applyAlignment="1">
      <alignment horizontal="center" vertical="center"/>
    </xf>
    <xf numFmtId="49" fontId="15" fillId="0" borderId="64" xfId="0" applyNumberFormat="1" applyFont="1" applyBorder="1" applyAlignment="1">
      <alignment horizontal="center" vertical="center"/>
    </xf>
    <xf numFmtId="0" fontId="15" fillId="0" borderId="64" xfId="0" applyFont="1" applyBorder="1" applyAlignment="1">
      <alignment horizontal="left" wrapText="1"/>
    </xf>
    <xf numFmtId="49" fontId="26" fillId="0" borderId="0" xfId="0" applyNumberFormat="1" applyFont="1" applyAlignment="1">
      <alignment horizontal="left" vertical="center"/>
    </xf>
    <xf numFmtId="0" fontId="26" fillId="0" borderId="0" xfId="0" applyFont="1" applyAlignment="1">
      <alignment horizontal="left" vertical="center" wrapText="1"/>
    </xf>
    <xf numFmtId="0" fontId="28" fillId="0" borderId="0" xfId="0" applyFont="1" applyAlignment="1">
      <alignment wrapText="1"/>
    </xf>
    <xf numFmtId="0" fontId="27" fillId="0" borderId="0" xfId="0" applyFont="1" applyAlignment="1">
      <alignment horizontal="left" wrapText="1"/>
    </xf>
    <xf numFmtId="0" fontId="26" fillId="0" borderId="0" xfId="0" applyFont="1" applyAlignment="1">
      <alignment horizontal="center" vertical="center"/>
    </xf>
    <xf numFmtId="0" fontId="26" fillId="0" borderId="0" xfId="0" applyFont="1"/>
    <xf numFmtId="0" fontId="47" fillId="0" borderId="0" xfId="0" applyFont="1"/>
    <xf numFmtId="0" fontId="26" fillId="0" borderId="64" xfId="0" applyFont="1" applyBorder="1" applyAlignment="1">
      <alignment horizontal="left" wrapText="1"/>
    </xf>
    <xf numFmtId="49" fontId="27" fillId="0" borderId="0" xfId="0" applyNumberFormat="1" applyFont="1" applyAlignment="1">
      <alignment horizontal="left" vertical="center"/>
    </xf>
    <xf numFmtId="49" fontId="27" fillId="0" borderId="0" xfId="0" applyNumberFormat="1" applyFont="1" applyAlignment="1">
      <alignment horizontal="center" vertical="center"/>
    </xf>
    <xf numFmtId="49" fontId="28" fillId="0" borderId="64" xfId="0" applyNumberFormat="1" applyFont="1" applyBorder="1"/>
    <xf numFmtId="0" fontId="26" fillId="0" borderId="64" xfId="0" applyFont="1" applyBorder="1"/>
    <xf numFmtId="2" fontId="39" fillId="0" borderId="64" xfId="0" applyNumberFormat="1" applyFont="1" applyBorder="1"/>
    <xf numFmtId="0" fontId="39" fillId="0" borderId="64" xfId="0" applyFont="1" applyBorder="1"/>
    <xf numFmtId="2" fontId="28" fillId="0" borderId="64" xfId="0" applyNumberFormat="1" applyFont="1" applyBorder="1"/>
    <xf numFmtId="49" fontId="27" fillId="0" borderId="0" xfId="0" applyNumberFormat="1" applyFont="1" applyAlignment="1">
      <alignment horizontal="left"/>
    </xf>
    <xf numFmtId="0" fontId="28" fillId="0" borderId="0" xfId="0" applyFont="1" applyAlignment="1">
      <alignment horizontal="left"/>
    </xf>
    <xf numFmtId="0" fontId="39" fillId="0" borderId="0" xfId="0" applyFont="1" applyAlignment="1">
      <alignment vertical="center"/>
    </xf>
    <xf numFmtId="4" fontId="39" fillId="0" borderId="0" xfId="0" applyNumberFormat="1" applyFont="1"/>
    <xf numFmtId="0" fontId="26" fillId="0" borderId="0" xfId="0" applyFont="1" applyAlignment="1">
      <alignment wrapText="1"/>
    </xf>
    <xf numFmtId="0" fontId="26" fillId="0" borderId="0" xfId="0" applyFont="1" applyAlignment="1">
      <alignment horizontal="left"/>
    </xf>
    <xf numFmtId="2" fontId="26" fillId="0" borderId="0" xfId="0" applyNumberFormat="1" applyFont="1" applyAlignment="1">
      <alignment horizontal="left"/>
    </xf>
    <xf numFmtId="49" fontId="11" fillId="0" borderId="66" xfId="0" applyNumberFormat="1" applyFont="1" applyBorder="1" applyAlignment="1">
      <alignment horizontal="center" vertical="center"/>
    </xf>
    <xf numFmtId="49" fontId="28" fillId="0" borderId="0" xfId="0" applyNumberFormat="1" applyFont="1" applyAlignment="1">
      <alignment vertical="center"/>
    </xf>
    <xf numFmtId="49" fontId="9" fillId="0" borderId="0" xfId="0" applyNumberFormat="1" applyFont="1"/>
    <xf numFmtId="2" fontId="9" fillId="0" borderId="0" xfId="0" applyNumberFormat="1" applyFont="1"/>
    <xf numFmtId="0" fontId="13" fillId="0" borderId="0" xfId="0" applyFont="1"/>
    <xf numFmtId="2" fontId="13" fillId="0" borderId="0" xfId="0" applyNumberFormat="1" applyFont="1"/>
    <xf numFmtId="49" fontId="11" fillId="0" borderId="0" xfId="0" applyNumberFormat="1" applyFont="1" applyAlignment="1">
      <alignment horizontal="center" vertical="center"/>
    </xf>
    <xf numFmtId="0" fontId="11" fillId="0" borderId="0" xfId="0" applyFont="1" applyAlignment="1">
      <alignment horizontal="left"/>
    </xf>
    <xf numFmtId="2" fontId="11" fillId="0" borderId="0" xfId="0" applyNumberFormat="1" applyFont="1" applyAlignment="1">
      <alignment horizontal="left"/>
    </xf>
    <xf numFmtId="0" fontId="11" fillId="0" borderId="0" xfId="0" applyFont="1" applyAlignment="1">
      <alignment horizontal="left" wrapText="1"/>
    </xf>
    <xf numFmtId="2" fontId="28" fillId="0" borderId="0" xfId="0" applyNumberFormat="1" applyFont="1" applyAlignment="1">
      <alignment horizontal="right"/>
    </xf>
    <xf numFmtId="4" fontId="41" fillId="0" borderId="0" xfId="0" applyNumberFormat="1" applyFont="1"/>
    <xf numFmtId="49" fontId="39" fillId="0" borderId="0" xfId="0" applyNumberFormat="1" applyFont="1"/>
    <xf numFmtId="49" fontId="27" fillId="0" borderId="0" xfId="0" applyNumberFormat="1" applyFont="1" applyAlignment="1">
      <alignment horizontal="right" vertical="center"/>
    </xf>
    <xf numFmtId="2" fontId="27" fillId="0" borderId="0" xfId="0" applyNumberFormat="1" applyFont="1" applyAlignment="1">
      <alignment horizontal="right" vertical="center"/>
    </xf>
    <xf numFmtId="0" fontId="28" fillId="0" borderId="0" xfId="0" applyFont="1" applyAlignment="1">
      <alignment horizontal="right"/>
    </xf>
    <xf numFmtId="0" fontId="43" fillId="0" borderId="0" xfId="0" applyFont="1"/>
    <xf numFmtId="0" fontId="27" fillId="0" borderId="0" xfId="0" applyFont="1" applyAlignment="1">
      <alignment horizontal="left"/>
    </xf>
    <xf numFmtId="49" fontId="26" fillId="0" borderId="66" xfId="0" applyNumberFormat="1" applyFont="1" applyBorder="1" applyAlignment="1">
      <alignment horizontal="center" vertical="top"/>
    </xf>
    <xf numFmtId="0" fontId="26" fillId="0" borderId="0" xfId="0" applyFont="1" applyAlignment="1">
      <alignment horizontal="left" vertical="top" wrapText="1"/>
    </xf>
    <xf numFmtId="49" fontId="26" fillId="0" borderId="64" xfId="0" applyNumberFormat="1" applyFont="1" applyBorder="1" applyAlignment="1">
      <alignment horizontal="center" vertical="top"/>
    </xf>
    <xf numFmtId="0" fontId="26" fillId="0" borderId="64" xfId="0" applyFont="1" applyBorder="1" applyAlignment="1">
      <alignment horizontal="left" vertical="top"/>
    </xf>
    <xf numFmtId="0" fontId="27" fillId="0" borderId="0" xfId="0" applyFont="1" applyAlignment="1">
      <alignment horizontal="right" vertical="center"/>
    </xf>
    <xf numFmtId="0" fontId="39" fillId="0" borderId="64" xfId="0" applyFont="1" applyBorder="1" applyAlignment="1">
      <alignment horizontal="center"/>
    </xf>
    <xf numFmtId="0" fontId="53" fillId="0" borderId="0" xfId="0" applyFont="1"/>
    <xf numFmtId="4" fontId="53" fillId="0" borderId="0" xfId="0" applyNumberFormat="1" applyFont="1"/>
    <xf numFmtId="0" fontId="41" fillId="0" borderId="0" xfId="0" applyFont="1" applyAlignment="1">
      <alignment horizontal="left"/>
    </xf>
    <xf numFmtId="0" fontId="43" fillId="0" borderId="0" xfId="0" applyFont="1" applyAlignment="1">
      <alignment horizontal="left"/>
    </xf>
    <xf numFmtId="49" fontId="28" fillId="0" borderId="0" xfId="0" applyNumberFormat="1" applyFont="1" applyAlignment="1">
      <alignment wrapText="1"/>
    </xf>
    <xf numFmtId="49" fontId="28" fillId="0" borderId="0" xfId="0" quotePrefix="1" applyNumberFormat="1" applyFont="1"/>
    <xf numFmtId="49" fontId="28" fillId="0" borderId="0" xfId="0" quotePrefix="1" applyNumberFormat="1" applyFont="1" applyAlignment="1">
      <alignment horizontal="center"/>
    </xf>
    <xf numFmtId="0" fontId="41" fillId="0" borderId="0" xfId="0" applyFont="1" applyAlignment="1">
      <alignment horizontal="center"/>
    </xf>
    <xf numFmtId="0" fontId="32" fillId="0" borderId="0" xfId="0" applyFont="1"/>
    <xf numFmtId="49" fontId="26" fillId="0" borderId="66" xfId="0" applyNumberFormat="1" applyFont="1" applyBorder="1" applyAlignment="1">
      <alignment horizontal="center" vertical="center" wrapText="1"/>
    </xf>
    <xf numFmtId="2" fontId="27" fillId="0" borderId="0" xfId="0" applyNumberFormat="1" applyFont="1" applyAlignment="1">
      <alignment horizontal="center" vertical="center"/>
    </xf>
    <xf numFmtId="2" fontId="27" fillId="0" borderId="0" xfId="0" applyNumberFormat="1" applyFont="1" applyAlignment="1">
      <alignment horizontal="right"/>
    </xf>
    <xf numFmtId="2" fontId="28" fillId="0" borderId="0" xfId="0" applyNumberFormat="1" applyFont="1" applyAlignment="1">
      <alignment horizontal="left"/>
    </xf>
    <xf numFmtId="4" fontId="28" fillId="0" borderId="0" xfId="0" applyNumberFormat="1" applyFont="1" applyAlignment="1">
      <alignment horizontal="right"/>
    </xf>
    <xf numFmtId="2" fontId="43" fillId="0" borderId="0" xfId="0" applyNumberFormat="1" applyFont="1" applyAlignment="1">
      <alignment horizontal="left"/>
    </xf>
    <xf numFmtId="4" fontId="27" fillId="0" borderId="0" xfId="0" applyNumberFormat="1" applyFont="1"/>
    <xf numFmtId="4" fontId="26" fillId="0" borderId="0" xfId="0" applyNumberFormat="1" applyFont="1"/>
    <xf numFmtId="49" fontId="41" fillId="0" borderId="0" xfId="0" applyNumberFormat="1" applyFont="1"/>
    <xf numFmtId="2" fontId="41" fillId="0" borderId="0" xfId="0" applyNumberFormat="1" applyFont="1" applyAlignment="1">
      <alignment horizontal="center" vertical="center"/>
    </xf>
    <xf numFmtId="0" fontId="41" fillId="0" borderId="0" xfId="0" applyFont="1" applyAlignment="1">
      <alignment horizontal="center" vertical="center"/>
    </xf>
    <xf numFmtId="4" fontId="32" fillId="0" borderId="0" xfId="0" applyNumberFormat="1" applyFont="1"/>
    <xf numFmtId="2" fontId="32" fillId="0" borderId="0" xfId="0" applyNumberFormat="1" applyFont="1"/>
    <xf numFmtId="166" fontId="28" fillId="0" borderId="0" xfId="0" applyNumberFormat="1" applyFont="1"/>
    <xf numFmtId="4" fontId="28" fillId="0" borderId="0" xfId="0" applyNumberFormat="1" applyFont="1" applyAlignment="1">
      <alignment wrapText="1"/>
    </xf>
    <xf numFmtId="0" fontId="26" fillId="0" borderId="64" xfId="0" applyFont="1" applyBorder="1" applyAlignment="1">
      <alignment horizontal="left" vertical="center"/>
    </xf>
    <xf numFmtId="0" fontId="26" fillId="0" borderId="64" xfId="0" applyFont="1" applyBorder="1" applyAlignment="1">
      <alignment horizontal="left"/>
    </xf>
    <xf numFmtId="0" fontId="41" fillId="0" borderId="0" xfId="0" applyFont="1" applyAlignment="1">
      <alignment wrapText="1"/>
    </xf>
    <xf numFmtId="0" fontId="43" fillId="0" borderId="0" xfId="0" applyFont="1" applyAlignment="1">
      <alignment horizontal="left" wrapText="1"/>
    </xf>
    <xf numFmtId="0" fontId="28" fillId="0" borderId="0" xfId="0" applyFont="1" applyAlignment="1">
      <alignment horizontal="left" wrapText="1"/>
    </xf>
    <xf numFmtId="49" fontId="28" fillId="0" borderId="64" xfId="3" applyNumberFormat="1" applyFont="1"/>
    <xf numFmtId="0" fontId="39" fillId="0" borderId="64" xfId="3" applyFont="1"/>
    <xf numFmtId="2" fontId="28" fillId="0" borderId="64" xfId="3" applyNumberFormat="1" applyFont="1"/>
    <xf numFmtId="2" fontId="39" fillId="0" borderId="64" xfId="3" applyNumberFormat="1" applyFont="1"/>
    <xf numFmtId="0" fontId="28" fillId="0" borderId="64" xfId="3" applyFont="1"/>
    <xf numFmtId="49" fontId="29" fillId="0" borderId="64" xfId="0" applyNumberFormat="1" applyFont="1" applyBorder="1" applyAlignment="1">
      <alignment vertical="center"/>
    </xf>
    <xf numFmtId="0" fontId="27" fillId="0" borderId="64" xfId="0" applyFont="1" applyBorder="1" applyAlignment="1">
      <alignment horizontal="left" vertical="center"/>
    </xf>
    <xf numFmtId="0" fontId="27" fillId="0" borderId="64" xfId="0" applyFont="1" applyBorder="1" applyAlignment="1">
      <alignment vertical="center"/>
    </xf>
    <xf numFmtId="0" fontId="28" fillId="0" borderId="0" xfId="0" applyFont="1" applyAlignment="1">
      <alignment horizontal="left" vertical="center"/>
    </xf>
    <xf numFmtId="0" fontId="26" fillId="0" borderId="64" xfId="0" applyFont="1" applyBorder="1" applyAlignment="1">
      <alignment vertical="center"/>
    </xf>
    <xf numFmtId="0" fontId="32" fillId="0" borderId="64" xfId="0" applyFont="1" applyBorder="1" applyAlignment="1">
      <alignment vertical="center"/>
    </xf>
    <xf numFmtId="0" fontId="30" fillId="0" borderId="64" xfId="0" applyFont="1" applyBorder="1" applyAlignment="1">
      <alignment vertical="center"/>
    </xf>
    <xf numFmtId="0" fontId="50" fillId="0" borderId="64" xfId="0" applyFont="1" applyBorder="1" applyAlignment="1">
      <alignment vertical="center"/>
    </xf>
    <xf numFmtId="0" fontId="49" fillId="0" borderId="64" xfId="0" applyFont="1" applyBorder="1" applyAlignment="1">
      <alignment vertical="center"/>
    </xf>
    <xf numFmtId="0" fontId="29" fillId="0" borderId="64" xfId="2" applyFont="1"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41" fillId="0" borderId="0" xfId="0" applyFont="1" applyAlignment="1">
      <alignment horizontal="left" vertical="center"/>
    </xf>
    <xf numFmtId="0" fontId="41" fillId="0" borderId="0" xfId="0" applyFont="1" applyAlignment="1">
      <alignment vertical="center"/>
    </xf>
    <xf numFmtId="2" fontId="27" fillId="0" borderId="0" xfId="0" applyNumberFormat="1" applyFont="1" applyAlignment="1">
      <alignment vertical="center"/>
    </xf>
    <xf numFmtId="0" fontId="39" fillId="0" borderId="0" xfId="0" applyFont="1" applyAlignment="1">
      <alignment horizontal="left" vertical="center"/>
    </xf>
    <xf numFmtId="0" fontId="27" fillId="0" borderId="0" xfId="0" applyFont="1" applyAlignment="1">
      <alignment vertical="center" wrapText="1"/>
    </xf>
    <xf numFmtId="0" fontId="27"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horizontal="left" vertical="center" wrapText="1"/>
    </xf>
    <xf numFmtId="0" fontId="39" fillId="0" borderId="0" xfId="0" applyFont="1" applyAlignment="1">
      <alignment horizontal="left"/>
    </xf>
    <xf numFmtId="2" fontId="27" fillId="0" borderId="0" xfId="0" applyNumberFormat="1" applyFont="1" applyAlignment="1">
      <alignment vertical="center" wrapText="1"/>
    </xf>
    <xf numFmtId="4" fontId="27" fillId="0" borderId="0" xfId="0" applyNumberFormat="1" applyFont="1" applyAlignment="1">
      <alignment horizontal="left" vertical="center"/>
    </xf>
    <xf numFmtId="0" fontId="27" fillId="0" borderId="64" xfId="0" applyFont="1" applyBorder="1"/>
    <xf numFmtId="4" fontId="27" fillId="0" borderId="0" xfId="0" applyNumberFormat="1" applyFont="1" applyAlignment="1">
      <alignment vertical="center"/>
    </xf>
    <xf numFmtId="2" fontId="41" fillId="0" borderId="0" xfId="0" applyNumberFormat="1" applyFont="1" applyAlignment="1">
      <alignment vertical="center"/>
    </xf>
    <xf numFmtId="4" fontId="41" fillId="0" borderId="0" xfId="0" applyNumberFormat="1" applyFont="1" applyAlignment="1">
      <alignment vertical="center"/>
    </xf>
    <xf numFmtId="0" fontId="3" fillId="0" borderId="0" xfId="0" applyFont="1" applyAlignment="1">
      <alignment horizontal="left" vertical="center" wrapText="1"/>
    </xf>
    <xf numFmtId="2" fontId="10" fillId="0" borderId="0" xfId="0" applyNumberFormat="1" applyFont="1" applyAlignment="1">
      <alignment vertical="center"/>
    </xf>
    <xf numFmtId="3" fontId="27" fillId="0" borderId="0" xfId="0" applyNumberFormat="1" applyFont="1" applyAlignment="1">
      <alignment horizontal="left" vertical="center" wrapText="1"/>
    </xf>
    <xf numFmtId="3" fontId="28" fillId="0" borderId="0" xfId="0" applyNumberFormat="1" applyFont="1" applyAlignment="1">
      <alignment horizontal="left" vertical="center"/>
    </xf>
    <xf numFmtId="0" fontId="41" fillId="0" borderId="0" xfId="0" applyFont="1" applyAlignment="1">
      <alignment horizontal="left" vertical="center" wrapText="1"/>
    </xf>
    <xf numFmtId="0" fontId="55" fillId="0" borderId="0" xfId="0" applyFont="1" applyAlignment="1">
      <alignment vertical="center"/>
    </xf>
    <xf numFmtId="0" fontId="55" fillId="0" borderId="0" xfId="0" applyFont="1"/>
    <xf numFmtId="4" fontId="26" fillId="0" borderId="0" xfId="0" applyNumberFormat="1" applyFont="1" applyAlignment="1">
      <alignment horizontal="left" vertical="center"/>
    </xf>
    <xf numFmtId="0" fontId="26" fillId="0" borderId="0" xfId="0" applyFont="1" applyAlignment="1">
      <alignment vertical="center"/>
    </xf>
    <xf numFmtId="0" fontId="39" fillId="0" borderId="0" xfId="0" applyFont="1" applyAlignment="1">
      <alignment vertical="top"/>
    </xf>
    <xf numFmtId="0" fontId="28" fillId="0" borderId="0" xfId="0" applyFont="1" applyAlignment="1">
      <alignment vertical="top"/>
    </xf>
    <xf numFmtId="0" fontId="16" fillId="0" borderId="0" xfId="0" applyFont="1" applyAlignment="1">
      <alignment horizontal="left" vertical="center" wrapText="1"/>
    </xf>
    <xf numFmtId="0" fontId="0" fillId="0" borderId="0" xfId="0" applyAlignment="1">
      <alignment vertical="center"/>
    </xf>
    <xf numFmtId="2" fontId="5" fillId="0" borderId="0" xfId="0" applyNumberFormat="1" applyFont="1"/>
    <xf numFmtId="0" fontId="3" fillId="0" borderId="0" xfId="0" applyFont="1" applyAlignment="1">
      <alignment horizontal="center" vertical="center" wrapText="1"/>
    </xf>
    <xf numFmtId="0" fontId="41" fillId="0" borderId="64" xfId="0" applyFont="1" applyBorder="1" applyAlignment="1">
      <alignment horizontal="left" vertical="center" wrapText="1"/>
    </xf>
    <xf numFmtId="0" fontId="28" fillId="0" borderId="64" xfId="0" applyFont="1" applyBorder="1" applyAlignment="1">
      <alignment horizontal="left" vertical="center"/>
    </xf>
    <xf numFmtId="0" fontId="28" fillId="0" borderId="64" xfId="0" applyFont="1" applyBorder="1" applyAlignment="1">
      <alignment vertical="center"/>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center" wrapText="1"/>
    </xf>
    <xf numFmtId="0" fontId="48" fillId="0" borderId="0" xfId="0" applyFont="1"/>
    <xf numFmtId="49" fontId="27" fillId="0" borderId="0" xfId="0" applyNumberFormat="1" applyFont="1" applyAlignment="1">
      <alignment horizontal="left" vertical="center" wrapText="1"/>
    </xf>
    <xf numFmtId="0" fontId="27" fillId="0" borderId="0" xfId="0" quotePrefix="1" applyFont="1" applyAlignment="1">
      <alignment horizontal="left" vertical="center" wrapText="1"/>
    </xf>
    <xf numFmtId="0" fontId="28" fillId="0" borderId="64" xfId="0" applyFont="1" applyBorder="1" applyAlignment="1">
      <alignment horizontal="left"/>
    </xf>
    <xf numFmtId="0" fontId="41" fillId="0" borderId="64" xfId="0" applyFont="1" applyBorder="1" applyAlignment="1">
      <alignment horizontal="left"/>
    </xf>
    <xf numFmtId="2" fontId="41" fillId="0" borderId="64" xfId="0" applyNumberFormat="1" applyFont="1" applyBorder="1"/>
    <xf numFmtId="0" fontId="27" fillId="0" borderId="0" xfId="0" applyFont="1" applyAlignment="1">
      <alignment horizontal="right" vertical="center" wrapText="1"/>
    </xf>
    <xf numFmtId="0" fontId="28" fillId="0" borderId="64" xfId="3" applyFont="1" applyAlignment="1">
      <alignment horizontal="left" vertical="center"/>
    </xf>
    <xf numFmtId="3" fontId="27" fillId="0" borderId="0" xfId="0" applyNumberFormat="1" applyFont="1" applyAlignment="1">
      <alignment horizontal="left" vertical="center"/>
    </xf>
    <xf numFmtId="0" fontId="53" fillId="0" borderId="0" xfId="0" applyFont="1" applyAlignment="1">
      <alignment vertical="center"/>
    </xf>
    <xf numFmtId="0" fontId="28" fillId="0" borderId="0" xfId="0" applyFont="1"/>
    <xf numFmtId="49" fontId="26" fillId="0" borderId="66" xfId="0" applyNumberFormat="1" applyFont="1" applyFill="1" applyBorder="1" applyAlignment="1">
      <alignment horizontal="center" vertical="center"/>
    </xf>
    <xf numFmtId="49" fontId="27" fillId="0" borderId="0" xfId="0" applyNumberFormat="1" applyFont="1" applyFill="1" applyAlignment="1">
      <alignment horizontal="left" vertical="center" wrapText="1"/>
    </xf>
    <xf numFmtId="2" fontId="27" fillId="0" borderId="0" xfId="0" applyNumberFormat="1" applyFont="1" applyFill="1" applyAlignment="1">
      <alignment vertical="center"/>
    </xf>
    <xf numFmtId="0" fontId="28" fillId="0" borderId="0" xfId="0" applyFont="1" applyFill="1"/>
    <xf numFmtId="0" fontId="27" fillId="0" borderId="0" xfId="0" applyFont="1" applyFill="1"/>
    <xf numFmtId="49" fontId="28" fillId="0" borderId="0" xfId="0" applyNumberFormat="1" applyFont="1" applyFill="1"/>
    <xf numFmtId="2" fontId="28" fillId="0" borderId="0" xfId="0" applyNumberFormat="1" applyFont="1" applyFill="1"/>
    <xf numFmtId="0" fontId="28" fillId="0" borderId="0" xfId="0" applyFont="1" applyFill="1" applyAlignment="1">
      <alignment horizontal="left" vertical="center"/>
    </xf>
    <xf numFmtId="0" fontId="28" fillId="0" borderId="0" xfId="0" applyFont="1" applyFill="1" applyAlignment="1">
      <alignment vertical="center"/>
    </xf>
    <xf numFmtId="0" fontId="39" fillId="0" borderId="0" xfId="0" applyFont="1" applyFill="1"/>
    <xf numFmtId="0" fontId="27" fillId="0" borderId="0" xfId="0" applyFont="1" applyFill="1" applyAlignment="1">
      <alignment vertical="center"/>
    </xf>
    <xf numFmtId="4" fontId="28" fillId="0" borderId="0" xfId="0" applyNumberFormat="1" applyFont="1" applyFill="1" applyAlignment="1">
      <alignment wrapText="1"/>
    </xf>
    <xf numFmtId="4" fontId="28" fillId="0" borderId="0" xfId="0" applyNumberFormat="1" applyFont="1" applyFill="1"/>
    <xf numFmtId="4" fontId="39" fillId="0" borderId="0" xfId="0" applyNumberFormat="1" applyFont="1" applyFill="1"/>
    <xf numFmtId="49" fontId="11" fillId="0" borderId="66" xfId="0" applyNumberFormat="1" applyFont="1" applyFill="1" applyBorder="1" applyAlignment="1">
      <alignment horizontal="center" vertical="center"/>
    </xf>
    <xf numFmtId="0" fontId="3" fillId="0" borderId="0" xfId="0" applyFont="1" applyFill="1" applyAlignment="1">
      <alignment horizontal="left" vertical="center" wrapText="1"/>
    </xf>
    <xf numFmtId="2" fontId="10" fillId="0" borderId="0" xfId="0" applyNumberFormat="1" applyFont="1" applyFill="1" applyAlignment="1">
      <alignment vertical="center"/>
    </xf>
    <xf numFmtId="0" fontId="9" fillId="0" borderId="0" xfId="0" applyFont="1" applyFill="1"/>
    <xf numFmtId="0" fontId="0" fillId="0" borderId="0" xfId="0" applyFill="1"/>
    <xf numFmtId="167" fontId="13" fillId="0" borderId="77" xfId="0" applyNumberFormat="1" applyFont="1" applyFill="1" applyBorder="1" applyAlignment="1" applyProtection="1">
      <alignment horizontal="right" vertical="center" wrapText="1"/>
    </xf>
    <xf numFmtId="0" fontId="9" fillId="0" borderId="77" xfId="0" applyNumberFormat="1" applyFont="1" applyFill="1" applyBorder="1" applyAlignment="1" applyProtection="1">
      <alignment horizontal="left" vertical="center" wrapText="1"/>
    </xf>
    <xf numFmtId="0" fontId="9" fillId="0" borderId="77" xfId="0" applyNumberFormat="1" applyFont="1" applyFill="1" applyBorder="1" applyAlignment="1" applyProtection="1">
      <alignment horizontal="center" vertical="center" wrapText="1"/>
    </xf>
    <xf numFmtId="4" fontId="9" fillId="0" borderId="77" xfId="0" applyNumberFormat="1" applyFont="1" applyFill="1" applyBorder="1" applyAlignment="1" applyProtection="1">
      <alignment horizontal="right" vertical="center" wrapText="1"/>
    </xf>
    <xf numFmtId="167" fontId="9" fillId="0" borderId="77" xfId="0" applyNumberFormat="1" applyFont="1" applyFill="1" applyBorder="1" applyAlignment="1" applyProtection="1">
      <alignment horizontal="right" vertical="center" wrapText="1"/>
    </xf>
    <xf numFmtId="0" fontId="14" fillId="0" borderId="64" xfId="0" applyNumberFormat="1" applyFont="1" applyFill="1" applyBorder="1" applyAlignment="1" applyProtection="1">
      <alignment wrapText="1"/>
      <protection locked="0"/>
    </xf>
    <xf numFmtId="10" fontId="14" fillId="0" borderId="69" xfId="14" applyNumberFormat="1" applyFont="1" applyBorder="1" applyAlignment="1">
      <alignment vertical="center"/>
    </xf>
    <xf numFmtId="0" fontId="9" fillId="0" borderId="69" xfId="0" applyNumberFormat="1" applyFont="1" applyFill="1" applyBorder="1" applyAlignment="1" applyProtection="1">
      <alignment horizontal="left" vertical="center" wrapText="1"/>
    </xf>
    <xf numFmtId="0" fontId="9" fillId="0" borderId="69" xfId="0" applyNumberFormat="1" applyFont="1" applyFill="1" applyBorder="1" applyAlignment="1" applyProtection="1">
      <alignment horizontal="center" vertical="center" wrapText="1"/>
    </xf>
    <xf numFmtId="4" fontId="9" fillId="0" borderId="69" xfId="0" applyNumberFormat="1" applyFont="1" applyFill="1" applyBorder="1" applyAlignment="1" applyProtection="1">
      <alignment horizontal="right" vertical="center" wrapText="1"/>
    </xf>
    <xf numFmtId="167" fontId="9" fillId="0" borderId="69" xfId="0" applyNumberFormat="1" applyFont="1" applyFill="1" applyBorder="1" applyAlignment="1" applyProtection="1">
      <alignment horizontal="right" vertical="center" wrapText="1"/>
    </xf>
    <xf numFmtId="0" fontId="13" fillId="23" borderId="77" xfId="0" applyNumberFormat="1" applyFont="1" applyFill="1" applyBorder="1" applyAlignment="1" applyProtection="1">
      <alignment horizontal="center" vertical="center" wrapText="1"/>
    </xf>
    <xf numFmtId="0" fontId="58" fillId="0" borderId="77" xfId="0" applyNumberFormat="1" applyFont="1" applyFill="1" applyBorder="1" applyAlignment="1" applyProtection="1">
      <alignment horizontal="center" vertical="top" wrapText="1"/>
    </xf>
    <xf numFmtId="0" fontId="58" fillId="0" borderId="77" xfId="0" applyNumberFormat="1" applyFont="1" applyFill="1" applyBorder="1" applyAlignment="1" applyProtection="1">
      <alignment horizontal="justify" vertical="top" wrapText="1"/>
    </xf>
    <xf numFmtId="168" fontId="58" fillId="0" borderId="77" xfId="0" applyNumberFormat="1" applyFont="1" applyFill="1" applyBorder="1" applyAlignment="1" applyProtection="1">
      <alignment horizontal="right" vertical="top" wrapText="1"/>
    </xf>
    <xf numFmtId="167" fontId="58" fillId="0" borderId="77" xfId="0" applyNumberFormat="1" applyFont="1" applyFill="1" applyBorder="1" applyAlignment="1" applyProtection="1">
      <alignment horizontal="right" vertical="top" wrapText="1"/>
    </xf>
    <xf numFmtId="167" fontId="57" fillId="0" borderId="77" xfId="0" applyNumberFormat="1" applyFont="1" applyFill="1" applyBorder="1" applyAlignment="1" applyProtection="1">
      <alignment horizontal="right" vertical="top" wrapText="1"/>
    </xf>
    <xf numFmtId="0" fontId="28" fillId="0" borderId="8" xfId="0" applyNumberFormat="1" applyFont="1" applyFill="1" applyBorder="1" applyAlignment="1" applyProtection="1">
      <alignment wrapText="1"/>
      <protection locked="0"/>
    </xf>
    <xf numFmtId="0" fontId="28" fillId="0" borderId="22" xfId="0" applyNumberFormat="1" applyFont="1" applyFill="1" applyBorder="1" applyAlignment="1" applyProtection="1">
      <alignment wrapText="1"/>
      <protection locked="0"/>
    </xf>
    <xf numFmtId="0" fontId="28" fillId="0" borderId="6" xfId="0" applyNumberFormat="1" applyFont="1" applyFill="1" applyBorder="1" applyAlignment="1" applyProtection="1">
      <alignment wrapText="1"/>
      <protection locked="0"/>
    </xf>
    <xf numFmtId="0" fontId="28" fillId="0" borderId="24" xfId="0" applyNumberFormat="1" applyFont="1" applyFill="1" applyBorder="1" applyAlignment="1" applyProtection="1">
      <alignment wrapText="1"/>
      <protection locked="0"/>
    </xf>
    <xf numFmtId="0" fontId="28" fillId="22" borderId="22" xfId="0" applyNumberFormat="1" applyFont="1" applyFill="1" applyBorder="1" applyAlignment="1" applyProtection="1">
      <alignment wrapText="1"/>
      <protection locked="0"/>
    </xf>
    <xf numFmtId="0" fontId="28" fillId="22" borderId="60" xfId="0" applyNumberFormat="1" applyFont="1" applyFill="1" applyBorder="1" applyAlignment="1" applyProtection="1">
      <alignment wrapText="1"/>
      <protection locked="0"/>
    </xf>
    <xf numFmtId="0" fontId="28" fillId="22" borderId="24" xfId="0" applyNumberFormat="1" applyFont="1" applyFill="1" applyBorder="1" applyAlignment="1" applyProtection="1">
      <alignment wrapText="1"/>
      <protection locked="0"/>
    </xf>
    <xf numFmtId="0" fontId="28" fillId="22" borderId="66" xfId="0" applyNumberFormat="1" applyFont="1" applyFill="1" applyBorder="1" applyAlignment="1" applyProtection="1">
      <alignment wrapText="1"/>
      <protection locked="0"/>
    </xf>
    <xf numFmtId="169" fontId="28" fillId="0" borderId="8" xfId="0" applyNumberFormat="1" applyFont="1" applyFill="1" applyBorder="1" applyAlignment="1" applyProtection="1">
      <alignment horizontal="right" vertical="center" wrapText="1"/>
    </xf>
    <xf numFmtId="169" fontId="39" fillId="0" borderId="8" xfId="0" applyNumberFormat="1" applyFont="1" applyFill="1" applyBorder="1" applyAlignment="1" applyProtection="1">
      <alignment horizontal="right" vertical="center" wrapText="1"/>
    </xf>
    <xf numFmtId="167" fontId="28" fillId="22" borderId="77" xfId="0" applyNumberFormat="1" applyFont="1" applyFill="1" applyBorder="1" applyAlignment="1" applyProtection="1">
      <alignment horizontal="right" vertical="center" wrapText="1"/>
    </xf>
    <xf numFmtId="167" fontId="39" fillId="0" borderId="77" xfId="0" applyNumberFormat="1" applyFont="1" applyFill="1" applyBorder="1" applyAlignment="1" applyProtection="1">
      <alignment horizontal="right" vertical="center" wrapText="1"/>
    </xf>
    <xf numFmtId="167" fontId="28" fillId="22" borderId="8" xfId="0" applyNumberFormat="1" applyFont="1" applyFill="1" applyBorder="1" applyAlignment="1" applyProtection="1">
      <alignment horizontal="right" vertical="center" wrapText="1"/>
    </xf>
    <xf numFmtId="169" fontId="28" fillId="0" borderId="12" xfId="0" applyNumberFormat="1" applyFont="1" applyFill="1" applyBorder="1" applyAlignment="1" applyProtection="1">
      <alignment vertical="center" wrapText="1"/>
    </xf>
    <xf numFmtId="167" fontId="28" fillId="22" borderId="12" xfId="0" applyNumberFormat="1" applyFont="1" applyFill="1" applyBorder="1" applyAlignment="1" applyProtection="1">
      <alignment vertical="center" wrapText="1"/>
    </xf>
    <xf numFmtId="0" fontId="6" fillId="0" borderId="1" xfId="4" applyFont="1" applyBorder="1" applyAlignment="1">
      <alignment horizontal="center"/>
    </xf>
    <xf numFmtId="0" fontId="5" fillId="0" borderId="3" xfId="4" applyFont="1" applyBorder="1"/>
    <xf numFmtId="0" fontId="3" fillId="0" borderId="38" xfId="4" applyFont="1" applyBorder="1" applyAlignment="1">
      <alignment horizontal="left"/>
    </xf>
    <xf numFmtId="0" fontId="5" fillId="0" borderId="17" xfId="4" applyFont="1" applyBorder="1"/>
    <xf numFmtId="0" fontId="5" fillId="0" borderId="18" xfId="4" applyFont="1" applyBorder="1"/>
    <xf numFmtId="0" fontId="6" fillId="0" borderId="1" xfId="4" applyFont="1" applyBorder="1" applyAlignment="1">
      <alignment horizontal="center" vertical="center" wrapText="1"/>
    </xf>
    <xf numFmtId="0" fontId="5" fillId="0" borderId="2" xfId="4" applyFont="1" applyBorder="1"/>
    <xf numFmtId="0" fontId="4" fillId="0" borderId="1" xfId="4" applyFont="1" applyBorder="1" applyAlignment="1">
      <alignment horizontal="center"/>
    </xf>
    <xf numFmtId="2" fontId="3" fillId="5" borderId="12" xfId="4" applyNumberFormat="1" applyFont="1" applyFill="1" applyBorder="1" applyAlignment="1">
      <alignment horizontal="center"/>
    </xf>
    <xf numFmtId="0" fontId="5" fillId="0" borderId="65" xfId="4" applyFont="1" applyBorder="1"/>
    <xf numFmtId="0" fontId="5" fillId="0" borderId="13" xfId="4" applyFont="1" applyBorder="1"/>
    <xf numFmtId="0" fontId="3" fillId="0" borderId="19" xfId="4" applyFont="1" applyBorder="1" applyAlignment="1">
      <alignment horizontal="left"/>
    </xf>
    <xf numFmtId="0" fontId="5" fillId="0" borderId="20" xfId="4" applyFont="1" applyBorder="1"/>
    <xf numFmtId="0" fontId="5" fillId="0" borderId="21" xfId="4" applyFont="1" applyBorder="1"/>
    <xf numFmtId="0" fontId="3" fillId="0" borderId="26" xfId="4" applyFont="1" applyBorder="1" applyAlignment="1">
      <alignment horizontal="left"/>
    </xf>
    <xf numFmtId="0" fontId="5" fillId="0" borderId="27" xfId="4" applyFont="1" applyBorder="1"/>
    <xf numFmtId="0" fontId="5" fillId="0" borderId="28" xfId="4" applyFont="1" applyBorder="1"/>
    <xf numFmtId="0" fontId="4" fillId="0" borderId="12" xfId="4" applyFont="1" applyBorder="1" applyAlignment="1">
      <alignment horizontal="center" vertical="center"/>
    </xf>
    <xf numFmtId="0" fontId="4" fillId="0" borderId="51" xfId="0" applyFont="1" applyBorder="1" applyAlignment="1">
      <alignment horizontal="center" vertical="center"/>
    </xf>
    <xf numFmtId="0" fontId="5" fillId="0" borderId="52" xfId="0" applyFont="1" applyBorder="1"/>
    <xf numFmtId="0" fontId="5" fillId="0" borderId="53" xfId="0" applyFont="1" applyBorder="1"/>
    <xf numFmtId="0" fontId="3" fillId="0" borderId="54" xfId="0" applyFont="1" applyBorder="1" applyAlignment="1">
      <alignment horizontal="left" wrapText="1"/>
    </xf>
    <xf numFmtId="0" fontId="5" fillId="0" borderId="55" xfId="0" applyFont="1" applyBorder="1"/>
    <xf numFmtId="0" fontId="5" fillId="0" borderId="56" xfId="0" applyFont="1" applyBorder="1"/>
    <xf numFmtId="0" fontId="3" fillId="0" borderId="0" xfId="0" applyFont="1" applyAlignment="1">
      <alignment horizontal="left"/>
    </xf>
    <xf numFmtId="0" fontId="0" fillId="0" borderId="0" xfId="0"/>
    <xf numFmtId="0" fontId="4" fillId="0" borderId="30" xfId="0" applyFont="1" applyBorder="1" applyAlignment="1">
      <alignment horizontal="center" vertical="center" wrapText="1"/>
    </xf>
    <xf numFmtId="0" fontId="5" fillId="0" borderId="31" xfId="0" applyFont="1" applyBorder="1"/>
    <xf numFmtId="0" fontId="6" fillId="0" borderId="30" xfId="0" applyFont="1" applyBorder="1" applyAlignment="1">
      <alignment horizontal="center" vertical="center" wrapText="1"/>
    </xf>
    <xf numFmtId="0" fontId="5" fillId="0" borderId="32" xfId="0" applyFont="1" applyBorder="1"/>
    <xf numFmtId="2" fontId="3" fillId="5" borderId="48" xfId="0" applyNumberFormat="1" applyFont="1" applyFill="1" applyBorder="1" applyAlignment="1">
      <alignment horizontal="center"/>
    </xf>
    <xf numFmtId="0" fontId="5" fillId="0" borderId="49" xfId="0" applyFont="1" applyBorder="1"/>
    <xf numFmtId="0" fontId="5" fillId="0" borderId="50" xfId="0" applyFont="1" applyBorder="1"/>
    <xf numFmtId="0" fontId="6" fillId="0" borderId="1" xfId="0" applyFont="1" applyBorder="1" applyAlignment="1">
      <alignment horizontal="center"/>
    </xf>
    <xf numFmtId="0" fontId="5" fillId="0" borderId="3" xfId="0" applyFont="1" applyBorder="1"/>
    <xf numFmtId="0" fontId="5" fillId="0" borderId="2" xfId="0" applyFont="1" applyBorder="1"/>
    <xf numFmtId="0" fontId="13" fillId="0" borderId="77" xfId="0" applyNumberFormat="1" applyFont="1" applyFill="1" applyBorder="1" applyAlignment="1" applyProtection="1">
      <alignment horizontal="right" vertical="center" wrapText="1"/>
    </xf>
    <xf numFmtId="0" fontId="46" fillId="21" borderId="64" xfId="4" applyFont="1" applyFill="1" applyAlignment="1">
      <alignment horizontal="center" vertical="top" wrapText="1"/>
    </xf>
    <xf numFmtId="49" fontId="29" fillId="0" borderId="64" xfId="2" applyNumberFormat="1" applyFont="1" applyAlignment="1">
      <alignment horizontal="right" vertical="center"/>
    </xf>
    <xf numFmtId="49" fontId="29" fillId="0" borderId="64" xfId="2" applyNumberFormat="1" applyFont="1" applyAlignment="1">
      <alignment horizontal="left" vertical="center"/>
    </xf>
    <xf numFmtId="49" fontId="32" fillId="0" borderId="69" xfId="2" applyNumberFormat="1" applyFont="1" applyBorder="1" applyAlignment="1">
      <alignment horizontal="center" vertical="center" wrapText="1"/>
    </xf>
    <xf numFmtId="10" fontId="30" fillId="12" borderId="69" xfId="2" applyNumberFormat="1" applyFont="1" applyFill="1" applyBorder="1" applyAlignment="1">
      <alignment horizontal="center" vertical="center"/>
    </xf>
    <xf numFmtId="0" fontId="30" fillId="12" borderId="69" xfId="2" applyFont="1" applyFill="1" applyBorder="1" applyAlignment="1">
      <alignment horizontal="center" vertical="center"/>
    </xf>
    <xf numFmtId="0" fontId="29" fillId="14" borderId="0" xfId="0" applyFont="1" applyFill="1" applyAlignment="1">
      <alignment horizontal="center" vertical="center" wrapText="1"/>
    </xf>
    <xf numFmtId="4" fontId="32" fillId="10" borderId="64" xfId="2" applyNumberFormat="1" applyFont="1" applyFill="1" applyAlignment="1">
      <alignment horizontal="center" vertical="center" wrapText="1"/>
    </xf>
    <xf numFmtId="4" fontId="33" fillId="11" borderId="68" xfId="0" applyNumberFormat="1" applyFont="1" applyFill="1" applyBorder="1" applyAlignment="1">
      <alignment horizontal="center" vertical="center"/>
    </xf>
    <xf numFmtId="49" fontId="29" fillId="0" borderId="64" xfId="2" applyNumberFormat="1" applyFont="1" applyAlignment="1">
      <alignment horizontal="left" vertical="center" wrapText="1"/>
    </xf>
    <xf numFmtId="0" fontId="29" fillId="9" borderId="68" xfId="0" applyFont="1" applyFill="1" applyBorder="1" applyAlignment="1">
      <alignment horizontal="center" wrapText="1"/>
    </xf>
    <xf numFmtId="49" fontId="32" fillId="0" borderId="69" xfId="2" applyNumberFormat="1" applyFont="1" applyBorder="1" applyAlignment="1">
      <alignment horizontal="center" vertical="center"/>
    </xf>
    <xf numFmtId="0" fontId="13" fillId="0" borderId="6" xfId="0" applyNumberFormat="1" applyFont="1" applyFill="1" applyBorder="1" applyAlignment="1" applyProtection="1">
      <alignment horizontal="right" vertical="center" wrapText="1"/>
    </xf>
    <xf numFmtId="0" fontId="13" fillId="0" borderId="24" xfId="0" applyNumberFormat="1" applyFont="1" applyFill="1" applyBorder="1" applyAlignment="1" applyProtection="1">
      <alignment horizontal="right" vertical="center" wrapText="1"/>
    </xf>
    <xf numFmtId="0" fontId="13" fillId="0" borderId="12" xfId="0" applyNumberFormat="1" applyFont="1" applyFill="1" applyBorder="1" applyAlignment="1" applyProtection="1">
      <alignment horizontal="right" vertical="center" wrapText="1"/>
    </xf>
    <xf numFmtId="167" fontId="13" fillId="0" borderId="69" xfId="0" applyNumberFormat="1" applyFont="1" applyFill="1" applyBorder="1" applyAlignment="1" applyProtection="1">
      <alignment horizontal="right" vertical="center" wrapText="1"/>
    </xf>
    <xf numFmtId="167" fontId="13" fillId="0" borderId="79" xfId="0" applyNumberFormat="1" applyFont="1" applyFill="1" applyBorder="1" applyAlignment="1" applyProtection="1">
      <alignment horizontal="right" vertical="center" wrapText="1"/>
    </xf>
    <xf numFmtId="4" fontId="40" fillId="11" borderId="64" xfId="0" applyNumberFormat="1" applyFont="1" applyFill="1" applyBorder="1" applyAlignment="1">
      <alignment horizontal="center" vertical="center"/>
    </xf>
    <xf numFmtId="0" fontId="46" fillId="8" borderId="64" xfId="4" applyFont="1" applyFill="1" applyAlignment="1">
      <alignment horizontal="center" vertical="top" wrapText="1"/>
    </xf>
    <xf numFmtId="0" fontId="29" fillId="9" borderId="67" xfId="0" applyFont="1" applyFill="1" applyBorder="1" applyAlignment="1">
      <alignment horizontal="center" wrapText="1"/>
    </xf>
    <xf numFmtId="0" fontId="29" fillId="0" borderId="64" xfId="2" applyFont="1" applyAlignment="1">
      <alignment horizontal="left" vertical="center"/>
    </xf>
    <xf numFmtId="2" fontId="29" fillId="0" borderId="64" xfId="2" applyNumberFormat="1" applyFont="1" applyAlignment="1">
      <alignment horizontal="left" vertical="center" wrapText="1"/>
    </xf>
    <xf numFmtId="49" fontId="32" fillId="0" borderId="70" xfId="2" applyNumberFormat="1" applyFont="1" applyBorder="1" applyAlignment="1">
      <alignment horizontal="center" vertical="center"/>
    </xf>
    <xf numFmtId="49" fontId="32" fillId="0" borderId="71" xfId="2" applyNumberFormat="1" applyFont="1" applyBorder="1" applyAlignment="1">
      <alignment horizontal="center" vertical="center"/>
    </xf>
    <xf numFmtId="49" fontId="32" fillId="0" borderId="72" xfId="2" applyNumberFormat="1" applyFont="1" applyBorder="1" applyAlignment="1">
      <alignment horizontal="center" vertical="center" wrapText="1"/>
    </xf>
    <xf numFmtId="49" fontId="32" fillId="0" borderId="73" xfId="2" applyNumberFormat="1" applyFont="1" applyBorder="1" applyAlignment="1">
      <alignment horizontal="center" vertical="center" wrapText="1"/>
    </xf>
    <xf numFmtId="49" fontId="32" fillId="0" borderId="74" xfId="2" applyNumberFormat="1" applyFont="1" applyBorder="1" applyAlignment="1">
      <alignment horizontal="center" vertical="center" wrapText="1"/>
    </xf>
    <xf numFmtId="49" fontId="32" fillId="0" borderId="75" xfId="2" applyNumberFormat="1" applyFont="1" applyBorder="1" applyAlignment="1">
      <alignment horizontal="center" vertical="center" wrapText="1"/>
    </xf>
    <xf numFmtId="0" fontId="57" fillId="23" borderId="77" xfId="0" applyNumberFormat="1" applyFont="1" applyFill="1" applyBorder="1" applyAlignment="1" applyProtection="1">
      <alignment horizontal="left" vertical="center" wrapText="1"/>
    </xf>
    <xf numFmtId="0" fontId="57" fillId="0" borderId="77" xfId="0" applyNumberFormat="1" applyFont="1" applyFill="1" applyBorder="1" applyAlignment="1" applyProtection="1">
      <alignment horizontal="right" vertical="top" wrapText="1"/>
    </xf>
    <xf numFmtId="0" fontId="58" fillId="0" borderId="64" xfId="0" applyNumberFormat="1" applyFont="1" applyFill="1" applyBorder="1" applyAlignment="1" applyProtection="1">
      <alignment horizontal="left" vertical="top" wrapText="1"/>
    </xf>
    <xf numFmtId="0" fontId="13" fillId="0" borderId="77" xfId="0" applyNumberFormat="1" applyFont="1" applyFill="1" applyBorder="1" applyAlignment="1" applyProtection="1">
      <alignment horizontal="left" vertical="center" wrapText="1"/>
    </xf>
    <xf numFmtId="0" fontId="18" fillId="9" borderId="68" xfId="12" applyFont="1" applyFill="1" applyBorder="1" applyAlignment="1">
      <alignment horizontal="center" wrapText="1"/>
    </xf>
    <xf numFmtId="4" fontId="23" fillId="16" borderId="68" xfId="12" applyNumberFormat="1" applyFont="1" applyFill="1" applyBorder="1" applyAlignment="1">
      <alignment horizontal="center" vertical="center" wrapText="1"/>
    </xf>
    <xf numFmtId="49" fontId="15" fillId="0" borderId="69" xfId="2" applyNumberFormat="1" applyFont="1" applyBorder="1" applyAlignment="1">
      <alignment horizontal="center" vertical="center" wrapText="1"/>
    </xf>
    <xf numFmtId="0" fontId="52" fillId="21" borderId="64" xfId="13" applyFont="1" applyFill="1" applyAlignment="1">
      <alignment horizontal="center" vertical="top" wrapText="1"/>
    </xf>
    <xf numFmtId="49" fontId="24" fillId="0" borderId="64" xfId="2" applyNumberFormat="1" applyFont="1" applyAlignment="1">
      <alignment horizontal="left" vertical="center"/>
    </xf>
    <xf numFmtId="0" fontId="24" fillId="0" borderId="64" xfId="2" applyFont="1" applyAlignment="1">
      <alignment horizontal="left" vertical="center"/>
    </xf>
    <xf numFmtId="2" fontId="24" fillId="0" borderId="64" xfId="2" applyNumberFormat="1" applyFont="1" applyAlignment="1">
      <alignment horizontal="left" vertical="center" wrapText="1"/>
    </xf>
    <xf numFmtId="49" fontId="24" fillId="0" borderId="64" xfId="2" applyNumberFormat="1" applyFont="1" applyAlignment="1">
      <alignment horizontal="left" vertical="center" wrapText="1"/>
    </xf>
    <xf numFmtId="0" fontId="24" fillId="17" borderId="64" xfId="12" applyFont="1" applyFill="1" applyAlignment="1">
      <alignment horizontal="center" vertical="center" wrapText="1"/>
    </xf>
    <xf numFmtId="4" fontId="15" fillId="18" borderId="64" xfId="2" applyNumberFormat="1" applyFont="1" applyFill="1" applyAlignment="1">
      <alignment horizontal="center" vertical="center" wrapText="1"/>
    </xf>
    <xf numFmtId="49" fontId="9" fillId="0" borderId="64" xfId="12" applyNumberFormat="1" applyFont="1" applyAlignment="1">
      <alignment horizontal="center"/>
    </xf>
    <xf numFmtId="0" fontId="9" fillId="0" borderId="64" xfId="12" applyFont="1"/>
    <xf numFmtId="49" fontId="9" fillId="8" borderId="64" xfId="12" applyNumberFormat="1" applyFont="1" applyFill="1" applyAlignment="1">
      <alignment horizontal="center"/>
    </xf>
    <xf numFmtId="0" fontId="3" fillId="0" borderId="19" xfId="0" applyFont="1" applyBorder="1" applyAlignment="1">
      <alignment horizontal="left"/>
    </xf>
    <xf numFmtId="0" fontId="5" fillId="0" borderId="20" xfId="0" applyFont="1" applyBorder="1"/>
    <xf numFmtId="0" fontId="5" fillId="0" borderId="21" xfId="0" applyFont="1" applyBorder="1"/>
    <xf numFmtId="0" fontId="3" fillId="0" borderId="26" xfId="0" applyFont="1" applyBorder="1" applyAlignment="1">
      <alignment horizontal="left"/>
    </xf>
    <xf numFmtId="0" fontId="5" fillId="0" borderId="27" xfId="0" applyFont="1" applyBorder="1"/>
    <xf numFmtId="0" fontId="5" fillId="0" borderId="28" xfId="0" applyFont="1" applyBorder="1"/>
    <xf numFmtId="0" fontId="4" fillId="0" borderId="12" xfId="0" applyFont="1" applyBorder="1" applyAlignment="1">
      <alignment horizontal="center" vertical="center"/>
    </xf>
    <xf numFmtId="0" fontId="5" fillId="0" borderId="65" xfId="0" applyFont="1" applyBorder="1"/>
    <xf numFmtId="0" fontId="5" fillId="0" borderId="13" xfId="0" applyFont="1" applyBorder="1"/>
    <xf numFmtId="0" fontId="4" fillId="0" borderId="1" xfId="0" applyFont="1" applyBorder="1" applyAlignment="1">
      <alignment horizontal="center"/>
    </xf>
    <xf numFmtId="0" fontId="6" fillId="0" borderId="1" xfId="0" applyFont="1" applyBorder="1" applyAlignment="1">
      <alignment horizontal="center" vertical="center" wrapText="1"/>
    </xf>
    <xf numFmtId="2" fontId="3" fillId="5" borderId="12" xfId="0" applyNumberFormat="1" applyFont="1" applyFill="1" applyBorder="1" applyAlignment="1">
      <alignment horizontal="center"/>
    </xf>
    <xf numFmtId="0" fontId="3" fillId="0" borderId="38" xfId="0" applyFont="1" applyBorder="1" applyAlignment="1">
      <alignment horizontal="left"/>
    </xf>
    <xf numFmtId="0" fontId="5" fillId="0" borderId="17" xfId="0" applyFont="1" applyBorder="1"/>
    <xf numFmtId="0" fontId="5" fillId="0" borderId="18" xfId="0" applyFont="1" applyBorder="1"/>
    <xf numFmtId="0" fontId="26" fillId="0" borderId="66" xfId="0" applyFont="1" applyBorder="1" applyAlignment="1">
      <alignment horizontal="left" wrapText="1"/>
    </xf>
    <xf numFmtId="0" fontId="41" fillId="0" borderId="66" xfId="0" applyFont="1" applyBorder="1" applyAlignment="1">
      <alignment wrapText="1"/>
    </xf>
    <xf numFmtId="0" fontId="11" fillId="0" borderId="66" xfId="0" applyFont="1" applyBorder="1" applyAlignment="1">
      <alignment horizontal="left"/>
    </xf>
    <xf numFmtId="0" fontId="5" fillId="0" borderId="66" xfId="0" applyFont="1" applyBorder="1"/>
    <xf numFmtId="0" fontId="32" fillId="0" borderId="67" xfId="0" applyFont="1" applyBorder="1" applyAlignment="1">
      <alignment horizontal="left" wrapText="1"/>
    </xf>
    <xf numFmtId="0" fontId="32" fillId="10" borderId="68" xfId="0" applyFont="1" applyFill="1" applyBorder="1" applyAlignment="1">
      <alignment horizontal="left" vertical="center"/>
    </xf>
    <xf numFmtId="0" fontId="41" fillId="0" borderId="66" xfId="0" applyFont="1" applyBorder="1"/>
    <xf numFmtId="0" fontId="26" fillId="7" borderId="65" xfId="0" applyFont="1" applyFill="1" applyBorder="1" applyAlignment="1">
      <alignment horizontal="left" vertical="center"/>
    </xf>
    <xf numFmtId="0" fontId="41" fillId="0" borderId="65" xfId="0" applyFont="1" applyBorder="1"/>
    <xf numFmtId="0" fontId="26" fillId="0" borderId="66" xfId="0" applyFont="1" applyBorder="1" applyAlignment="1">
      <alignment horizontal="left"/>
    </xf>
    <xf numFmtId="0" fontId="27" fillId="0" borderId="0" xfId="0" applyFont="1" applyAlignment="1">
      <alignment horizontal="left"/>
    </xf>
    <xf numFmtId="0" fontId="32" fillId="0" borderId="67" xfId="0" applyFont="1" applyBorder="1" applyAlignment="1">
      <alignment horizontal="left" vertical="center" wrapText="1"/>
    </xf>
    <xf numFmtId="0" fontId="15" fillId="0" borderId="67" xfId="0" applyFont="1" applyBorder="1" applyAlignment="1">
      <alignment horizontal="left" wrapText="1"/>
    </xf>
    <xf numFmtId="0" fontId="26" fillId="7" borderId="68" xfId="0" applyFont="1" applyFill="1" applyBorder="1" applyAlignment="1">
      <alignment horizontal="left" vertical="center"/>
    </xf>
    <xf numFmtId="0" fontId="41" fillId="0" borderId="68" xfId="0" applyFont="1" applyBorder="1"/>
    <xf numFmtId="0" fontId="26" fillId="0" borderId="66" xfId="0" applyFont="1" applyBorder="1" applyAlignment="1">
      <alignment horizontal="left" vertical="center" wrapText="1"/>
    </xf>
    <xf numFmtId="0" fontId="11" fillId="0" borderId="66" xfId="0" applyFont="1" applyBorder="1" applyAlignment="1">
      <alignment horizontal="left" wrapText="1"/>
    </xf>
    <xf numFmtId="4" fontId="40" fillId="16" borderId="68" xfId="0" applyNumberFormat="1" applyFont="1" applyFill="1" applyBorder="1" applyAlignment="1">
      <alignment horizontal="center" vertical="center"/>
    </xf>
    <xf numFmtId="49" fontId="29" fillId="0" borderId="69" xfId="2" applyNumberFormat="1" applyFont="1" applyBorder="1" applyAlignment="1">
      <alignment horizontal="center" vertical="center"/>
    </xf>
    <xf numFmtId="10" fontId="29" fillId="12" borderId="70" xfId="2" applyNumberFormat="1" applyFont="1" applyFill="1" applyBorder="1" applyAlignment="1">
      <alignment horizontal="center" vertical="center"/>
    </xf>
    <xf numFmtId="10" fontId="29" fillId="12" borderId="71" xfId="2" applyNumberFormat="1" applyFont="1" applyFill="1" applyBorder="1" applyAlignment="1">
      <alignment horizontal="center" vertical="center"/>
    </xf>
    <xf numFmtId="49" fontId="29" fillId="0" borderId="69" xfId="2" applyNumberFormat="1" applyFont="1" applyBorder="1" applyAlignment="1">
      <alignment horizontal="center" vertical="center" wrapText="1"/>
    </xf>
    <xf numFmtId="10" fontId="29" fillId="12" borderId="72" xfId="2" applyNumberFormat="1" applyFont="1" applyFill="1" applyBorder="1" applyAlignment="1">
      <alignment horizontal="center" vertical="center"/>
    </xf>
    <xf numFmtId="10" fontId="29" fillId="12" borderId="73" xfId="2" applyNumberFormat="1" applyFont="1" applyFill="1" applyBorder="1" applyAlignment="1">
      <alignment horizontal="center" vertical="center"/>
    </xf>
    <xf numFmtId="10" fontId="29" fillId="12" borderId="74" xfId="2" applyNumberFormat="1" applyFont="1" applyFill="1" applyBorder="1" applyAlignment="1">
      <alignment horizontal="center" vertical="center"/>
    </xf>
    <xf numFmtId="10" fontId="29" fillId="12" borderId="75" xfId="2" applyNumberFormat="1" applyFont="1" applyFill="1" applyBorder="1" applyAlignment="1">
      <alignment horizontal="center" vertical="center"/>
    </xf>
    <xf numFmtId="0" fontId="26" fillId="0" borderId="66" xfId="0" applyFont="1" applyFill="1" applyBorder="1" applyAlignment="1">
      <alignment horizontal="left" wrapText="1"/>
    </xf>
    <xf numFmtId="0" fontId="41" fillId="0" borderId="66" xfId="0" applyFont="1" applyFill="1" applyBorder="1"/>
    <xf numFmtId="0" fontId="26" fillId="0" borderId="66" xfId="0" applyFont="1" applyBorder="1" applyAlignment="1">
      <alignment horizontal="left" vertical="top" wrapText="1"/>
    </xf>
    <xf numFmtId="0" fontId="29" fillId="17" borderId="64" xfId="0" applyFont="1" applyFill="1" applyBorder="1" applyAlignment="1">
      <alignment horizontal="center" vertical="center" wrapText="1"/>
    </xf>
    <xf numFmtId="4" fontId="29" fillId="18" borderId="64" xfId="2" applyNumberFormat="1" applyFont="1" applyFill="1" applyAlignment="1">
      <alignment horizontal="center" vertical="center" wrapText="1"/>
    </xf>
    <xf numFmtId="0" fontId="28" fillId="0" borderId="0" xfId="0" applyFont="1" applyAlignment="1">
      <alignment horizontal="left"/>
    </xf>
    <xf numFmtId="0" fontId="28" fillId="0" borderId="0" xfId="0" applyFont="1"/>
    <xf numFmtId="0" fontId="32" fillId="0" borderId="66" xfId="0" applyFont="1" applyBorder="1" applyAlignment="1">
      <alignment horizontal="left"/>
    </xf>
    <xf numFmtId="0" fontId="41" fillId="0" borderId="66" xfId="0" applyFont="1" applyBorder="1" applyAlignment="1">
      <alignment vertical="center"/>
    </xf>
    <xf numFmtId="0" fontId="41" fillId="0" borderId="0" xfId="0" applyFont="1" applyAlignment="1">
      <alignment horizontal="left"/>
    </xf>
    <xf numFmtId="0" fontId="41" fillId="0" borderId="0" xfId="0" applyFont="1"/>
    <xf numFmtId="0" fontId="26" fillId="0" borderId="66" xfId="0" applyFont="1" applyBorder="1" applyAlignment="1">
      <alignment wrapText="1"/>
    </xf>
    <xf numFmtId="0" fontId="26" fillId="0" borderId="66" xfId="0" applyFont="1" applyBorder="1" applyAlignment="1">
      <alignment horizontal="left" vertical="center"/>
    </xf>
    <xf numFmtId="0" fontId="32" fillId="0" borderId="66" xfId="0" applyFont="1" applyBorder="1" applyAlignment="1">
      <alignment horizontal="left" wrapText="1"/>
    </xf>
    <xf numFmtId="49" fontId="26" fillId="7" borderId="65" xfId="0" applyNumberFormat="1" applyFont="1" applyFill="1" applyBorder="1" applyAlignment="1">
      <alignment horizontal="left" vertical="center"/>
    </xf>
    <xf numFmtId="0" fontId="32" fillId="7" borderId="65" xfId="0" applyFont="1" applyFill="1" applyBorder="1" applyAlignment="1">
      <alignment horizontal="left" vertical="center"/>
    </xf>
    <xf numFmtId="0" fontId="32" fillId="0" borderId="67" xfId="0" applyFont="1" applyBorder="1" applyAlignment="1">
      <alignment horizontal="left"/>
    </xf>
    <xf numFmtId="0" fontId="26" fillId="0" borderId="66" xfId="0" applyFont="1" applyBorder="1" applyAlignment="1">
      <alignment horizontal="left" vertical="top"/>
    </xf>
    <xf numFmtId="0" fontId="11" fillId="0" borderId="66" xfId="0" applyFont="1" applyFill="1" applyBorder="1" applyAlignment="1">
      <alignment horizontal="left" wrapText="1"/>
    </xf>
    <xf numFmtId="0" fontId="5" fillId="0" borderId="66" xfId="0" applyFont="1" applyFill="1" applyBorder="1" applyAlignment="1">
      <alignment wrapText="1"/>
    </xf>
    <xf numFmtId="0" fontId="41" fillId="0" borderId="66" xfId="0" applyFont="1" applyBorder="1" applyAlignment="1">
      <alignment vertical="center" wrapText="1"/>
    </xf>
    <xf numFmtId="0" fontId="27" fillId="0" borderId="0" xfId="0" applyFont="1" applyAlignment="1">
      <alignment horizontal="left" wrapText="1"/>
    </xf>
    <xf numFmtId="167" fontId="28" fillId="22" borderId="77" xfId="0" applyNumberFormat="1" applyFont="1" applyFill="1" applyBorder="1" applyAlignment="1" applyProtection="1">
      <alignment horizontal="right" vertical="center" wrapText="1"/>
    </xf>
    <xf numFmtId="167" fontId="28" fillId="22" borderId="13" xfId="0" applyNumberFormat="1" applyFont="1" applyFill="1" applyBorder="1" applyAlignment="1" applyProtection="1">
      <alignment horizontal="right" vertical="center" wrapText="1"/>
    </xf>
    <xf numFmtId="0" fontId="28" fillId="0" borderId="77" xfId="0" applyNumberFormat="1" applyFont="1" applyFill="1" applyBorder="1" applyAlignment="1" applyProtection="1">
      <alignment horizontal="left" vertical="center" wrapText="1"/>
    </xf>
    <xf numFmtId="167" fontId="28" fillId="0" borderId="77" xfId="0" applyNumberFormat="1" applyFont="1" applyFill="1" applyBorder="1" applyAlignment="1" applyProtection="1">
      <alignment horizontal="right" vertical="center" wrapText="1"/>
    </xf>
    <xf numFmtId="0" fontId="52" fillId="21" borderId="64" xfId="4" applyFont="1" applyFill="1" applyAlignment="1">
      <alignment horizontal="center" vertical="top" wrapText="1"/>
    </xf>
    <xf numFmtId="0" fontId="38" fillId="8" borderId="64" xfId="4" applyFont="1" applyFill="1" applyAlignment="1">
      <alignment horizontal="center" vertical="top" wrapText="1"/>
    </xf>
    <xf numFmtId="4" fontId="51" fillId="16" borderId="64" xfId="0" applyNumberFormat="1" applyFont="1" applyFill="1" applyBorder="1" applyAlignment="1">
      <alignment horizontal="center" vertical="center"/>
    </xf>
    <xf numFmtId="10" fontId="26" fillId="0" borderId="0" xfId="0" applyNumberFormat="1" applyFont="1" applyAlignment="1">
      <alignment horizontal="center" vertical="center"/>
    </xf>
    <xf numFmtId="4" fontId="32" fillId="18" borderId="64" xfId="2" applyNumberFormat="1" applyFont="1" applyFill="1" applyAlignment="1">
      <alignment horizontal="center" vertical="center" wrapText="1"/>
    </xf>
    <xf numFmtId="0" fontId="6" fillId="0" borderId="80" xfId="4" applyFont="1" applyBorder="1" applyAlignment="1">
      <alignment horizontal="center" vertical="center" wrapText="1"/>
    </xf>
    <xf numFmtId="0" fontId="6" fillId="0" borderId="81" xfId="4" applyFont="1" applyBorder="1" applyAlignment="1">
      <alignment horizontal="center" vertical="center" wrapText="1"/>
    </xf>
    <xf numFmtId="0" fontId="6" fillId="0" borderId="82" xfId="4"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xf>
    <xf numFmtId="0" fontId="6" fillId="0" borderId="82" xfId="0" applyFont="1" applyBorder="1" applyAlignment="1">
      <alignment horizontal="center" vertical="center"/>
    </xf>
  </cellXfs>
  <cellStyles count="15">
    <cellStyle name="Normal" xfId="0" builtinId="0"/>
    <cellStyle name="Normal 13 2 7 5 2" xfId="3"/>
    <cellStyle name="Normal 184" xfId="12"/>
    <cellStyle name="Normal 2" xfId="4"/>
    <cellStyle name="Normal 2 2" xfId="13"/>
    <cellStyle name="Normal 3" xfId="5"/>
    <cellStyle name="Normal 3 2" xfId="7"/>
    <cellStyle name="Normal 4" xfId="8"/>
    <cellStyle name="Normal 5" xfId="9"/>
    <cellStyle name="Normal 5 2" xfId="1"/>
    <cellStyle name="Normal 6" xfId="11"/>
    <cellStyle name="Normal 7" xfId="6"/>
    <cellStyle name="Normal_Plan1_PLANILHA ORÇAMENTÁRIA - PAV. E DREN. Etapa II- PAC  TOTAL versao 31-10-2008 2" xfId="2"/>
    <cellStyle name="Porcentagem" xfId="14" builtinId="5"/>
    <cellStyle name="Vírgula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161925</xdr:colOff>
      <xdr:row>15</xdr:row>
      <xdr:rowOff>190500</xdr:rowOff>
    </xdr:from>
    <xdr:ext cx="4448175" cy="6953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61925" y="5105400"/>
          <a:ext cx="4448175" cy="695325"/>
        </a:xfrm>
        <a:prstGeom prst="rect">
          <a:avLst/>
        </a:prstGeom>
        <a:noFill/>
      </xdr:spPr>
    </xdr:pic>
    <xdr:clientData fLocksWithSheet="0"/>
  </xdr:oneCellAnchor>
  <xdr:twoCellAnchor>
    <xdr:from>
      <xdr:col>1</xdr:col>
      <xdr:colOff>838200</xdr:colOff>
      <xdr:row>0</xdr:row>
      <xdr:rowOff>19050</xdr:rowOff>
    </xdr:from>
    <xdr:to>
      <xdr:col>2</xdr:col>
      <xdr:colOff>456735</xdr:colOff>
      <xdr:row>0</xdr:row>
      <xdr:rowOff>542325</xdr:rowOff>
    </xdr:to>
    <xdr:pic>
      <xdr:nvPicPr>
        <xdr:cNvPr id="3" name="Picture 2" descr="BRAZAO"/>
        <xdr:cNvPicPr/>
      </xdr:nvPicPr>
      <xdr:blipFill>
        <a:blip xmlns:r="http://schemas.openxmlformats.org/officeDocument/2006/relationships" r:embed="rId2"/>
        <a:stretch/>
      </xdr:blipFill>
      <xdr:spPr>
        <a:xfrm>
          <a:off x="3219450" y="19050"/>
          <a:ext cx="504360" cy="523275"/>
        </a:xfrm>
        <a:prstGeom prst="rect">
          <a:avLst/>
        </a:prstGeom>
        <a:ln w="9525">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285750</xdr:colOff>
      <xdr:row>14</xdr:row>
      <xdr:rowOff>190500</xdr:rowOff>
    </xdr:from>
    <xdr:ext cx="3762375" cy="5905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85725</xdr:colOff>
      <xdr:row>0</xdr:row>
      <xdr:rowOff>66675</xdr:rowOff>
    </xdr:from>
    <xdr:to>
      <xdr:col>2</xdr:col>
      <xdr:colOff>590085</xdr:colOff>
      <xdr:row>0</xdr:row>
      <xdr:rowOff>589950</xdr:rowOff>
    </xdr:to>
    <xdr:pic>
      <xdr:nvPicPr>
        <xdr:cNvPr id="3" name="Picture 2" descr="BRAZAO"/>
        <xdr:cNvPicPr/>
      </xdr:nvPicPr>
      <xdr:blipFill>
        <a:blip xmlns:r="http://schemas.openxmlformats.org/officeDocument/2006/relationships" r:embed="rId2"/>
        <a:stretch/>
      </xdr:blipFill>
      <xdr:spPr>
        <a:xfrm>
          <a:off x="3038475" y="66675"/>
          <a:ext cx="504360" cy="523275"/>
        </a:xfrm>
        <a:prstGeom prst="rect">
          <a:avLst/>
        </a:prstGeom>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3228975</xdr:colOff>
      <xdr:row>0</xdr:row>
      <xdr:rowOff>85725</xdr:rowOff>
    </xdr:from>
    <xdr:to>
      <xdr:col>3</xdr:col>
      <xdr:colOff>4312444</xdr:colOff>
      <xdr:row>0</xdr:row>
      <xdr:rowOff>1193006</xdr:rowOff>
    </xdr:to>
    <xdr:pic>
      <xdr:nvPicPr>
        <xdr:cNvPr id="2" name="Imagem 1">
          <a:extLst>
            <a:ext uri="{FF2B5EF4-FFF2-40B4-BE49-F238E27FC236}">
              <a16:creationId xmlns:a16="http://schemas.microsoft.com/office/drawing/2014/main" id="{E3B9CA98-EF69-4FB0-BE70-0E764AB95183}"/>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738" b="99631" l="2846" r="95935">
                      <a14:foregroundMark x1="39024" y1="14391" x2="39024" y2="14391"/>
                      <a14:foregroundMark x1="42683" y1="15498" x2="34553" y2="11808"/>
                      <a14:foregroundMark x1="34553" y1="11808" x2="43089" y2="12915"/>
                      <a14:foregroundMark x1="43089" y1="12915" x2="50407" y2="8487"/>
                      <a14:foregroundMark x1="50407" y1="8487" x2="57724" y2="13653"/>
                      <a14:foregroundMark x1="57724" y1="13653" x2="65854" y2="7011"/>
                      <a14:foregroundMark x1="65854" y1="7011" x2="67886" y2="14760"/>
                      <a14:foregroundMark x1="67886" y1="14760" x2="76016" y2="12915"/>
                      <a14:foregroundMark x1="76016" y1="12915" x2="76829" y2="10701"/>
                      <a14:foregroundMark x1="38618" y1="4059" x2="30894" y2="7380"/>
                      <a14:foregroundMark x1="30894" y1="7380" x2="29268" y2="6273"/>
                      <a14:foregroundMark x1="23171" y1="7380" x2="23171" y2="12177"/>
                      <a14:foregroundMark x1="19919" y1="9594" x2="19919" y2="9594"/>
                      <a14:foregroundMark x1="34146" y1="4059" x2="34146" y2="4059"/>
                      <a14:foregroundMark x1="27236" y1="15498" x2="33333" y2="18081"/>
                      <a14:foregroundMark x1="46748" y1="17712" x2="38211" y2="17343"/>
                      <a14:foregroundMark x1="38211" y1="17343" x2="31301" y2="21033"/>
                      <a14:foregroundMark x1="69919" y1="22509" x2="62195" y2="18081"/>
                      <a14:foregroundMark x1="62195" y1="18081" x2="36179" y2="20664"/>
                      <a14:foregroundMark x1="36179" y1="20664" x2="33740" y2="21771"/>
                      <a14:foregroundMark x1="25203" y1="17712" x2="25203" y2="17712"/>
                      <a14:foregroundMark x1="64228" y1="14760" x2="64228" y2="14760"/>
                      <a14:foregroundMark x1="54878" y1="2583" x2="54878" y2="2583"/>
                      <a14:foregroundMark x1="80081" y1="9594" x2="80081" y2="9594"/>
                      <a14:foregroundMark x1="75203" y1="17343" x2="75203" y2="17343"/>
                      <a14:foregroundMark x1="6504" y1="68635" x2="15854" y2="67528"/>
                      <a14:foregroundMark x1="15854" y1="67528" x2="17886" y2="77491"/>
                      <a14:foregroundMark x1="17886" y1="77491" x2="21951" y2="85240"/>
                      <a14:foregroundMark x1="21951" y1="85240" x2="45122" y2="94096"/>
                      <a14:foregroundMark x1="45122" y1="94096" x2="59350" y2="92989"/>
                      <a14:foregroundMark x1="59350" y1="92989" x2="74797" y2="84502"/>
                      <a14:foregroundMark x1="74797" y1="84502" x2="81301" y2="76384"/>
                      <a14:foregroundMark x1="81301" y1="76384" x2="77642" y2="68266"/>
                      <a14:foregroundMark x1="77642" y1="68266" x2="96341" y2="67528"/>
                      <a14:foregroundMark x1="86585" y1="59410" x2="88618" y2="39483"/>
                      <a14:foregroundMark x1="88618" y1="39483" x2="83333" y2="33579"/>
                      <a14:foregroundMark x1="83333" y1="33579" x2="81707" y2="29889"/>
                      <a14:foregroundMark x1="81301" y1="40221" x2="81301" y2="40221"/>
                      <a14:foregroundMark x1="6098" y1="77122" x2="5285" y2="73801"/>
                      <a14:foregroundMark x1="3252" y1="70111" x2="4472" y2="63100"/>
                      <a14:foregroundMark x1="4472" y1="63100" x2="2846" y2="62362"/>
                      <a14:foregroundMark x1="32114" y1="92989" x2="54472" y2="95203"/>
                      <a14:foregroundMark x1="54472" y1="95203" x2="69106" y2="91513"/>
                      <a14:foregroundMark x1="13415" y1="55720" x2="13008" y2="57565"/>
                      <a14:foregroundMark x1="13821" y1="59779" x2="17073" y2="52399"/>
                      <a14:foregroundMark x1="17073" y1="52399" x2="13821" y2="45018"/>
                      <a14:foregroundMark x1="13821" y1="45018" x2="13415" y2="36162"/>
                      <a14:foregroundMark x1="13415" y1="36162" x2="18293" y2="30258"/>
                      <a14:foregroundMark x1="18293" y1="30258" x2="18293" y2="29889"/>
                      <a14:foregroundMark x1="24390" y1="12915" x2="26829" y2="20664"/>
                      <a14:foregroundMark x1="37398" y1="9225" x2="32520" y2="11808"/>
                      <a14:foregroundMark x1="40650" y1="9963" x2="32927" y2="8487"/>
                      <a14:foregroundMark x1="32927" y1="8487" x2="32114" y2="9594"/>
                      <a14:foregroundMark x1="30081" y1="11808" x2="30081" y2="11808"/>
                      <a14:foregroundMark x1="29268" y1="22509" x2="28455" y2="21033"/>
                      <a14:foregroundMark x1="64228" y1="19926" x2="60569" y2="19188"/>
                      <a14:foregroundMark x1="74390" y1="18450" x2="67073" y2="16974"/>
                      <a14:foregroundMark x1="61789" y1="6642" x2="62195" y2="4797"/>
                      <a14:foregroundMark x1="66260" y1="4428" x2="66260" y2="4428"/>
                      <a14:foregroundMark x1="70325" y1="5904" x2="70325" y2="5904"/>
                      <a14:foregroundMark x1="76423" y1="14022" x2="76423" y2="14022"/>
                      <a14:foregroundMark x1="76829" y1="7749" x2="76829" y2="7749"/>
                      <a14:foregroundMark x1="44309" y1="2583" x2="44309" y2="2583"/>
                      <a14:foregroundMark x1="54878" y1="3690" x2="54065" y2="5166"/>
                      <a14:foregroundMark x1="44715" y1="3690" x2="44715" y2="5166"/>
                      <a14:foregroundMark x1="64634" y1="21771" x2="64634" y2="21771"/>
                      <a14:foregroundMark x1="69106" y1="23616" x2="69106" y2="23616"/>
                      <a14:foregroundMark x1="30894" y1="23247" x2="30894" y2="23247"/>
                      <a14:foregroundMark x1="18699" y1="27306" x2="18699" y2="27306"/>
                      <a14:foregroundMark x1="18293" y1="36531" x2="18293" y2="36531"/>
                      <a14:foregroundMark x1="50000" y1="99631" x2="50000" y2="99631"/>
                      <a14:foregroundMark x1="69106" y1="77860" x2="71951" y2="75277"/>
                    </a14:backgroundRemoval>
                  </a14:imgEffect>
                </a14:imgLayer>
              </a14:imgProps>
            </a:ext>
            <a:ext uri="{28A0092B-C50C-407E-A947-70E740481C1C}">
              <a14:useLocalDpi xmlns:a14="http://schemas.microsoft.com/office/drawing/2010/main" val="0"/>
            </a:ext>
          </a:extLst>
        </a:blip>
        <a:stretch>
          <a:fillRect/>
        </a:stretch>
      </xdr:blipFill>
      <xdr:spPr>
        <a:xfrm>
          <a:off x="5667375" y="85725"/>
          <a:ext cx="1083469" cy="11072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3559968</xdr:colOff>
      <xdr:row>0</xdr:row>
      <xdr:rowOff>83342</xdr:rowOff>
    </xdr:from>
    <xdr:to>
      <xdr:col>4</xdr:col>
      <xdr:colOff>71437</xdr:colOff>
      <xdr:row>0</xdr:row>
      <xdr:rowOff>1190623</xdr:rowOff>
    </xdr:to>
    <xdr:pic>
      <xdr:nvPicPr>
        <xdr:cNvPr id="2" name="Imagem 1">
          <a:extLst>
            <a:ext uri="{FF2B5EF4-FFF2-40B4-BE49-F238E27FC236}">
              <a16:creationId xmlns:a16="http://schemas.microsoft.com/office/drawing/2014/main" id="{D3D2D2E3-1584-46A7-9127-CA8B0125F7D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738" b="99631" l="2846" r="95935">
                      <a14:foregroundMark x1="39024" y1="14391" x2="39024" y2="14391"/>
                      <a14:foregroundMark x1="42683" y1="15498" x2="34553" y2="11808"/>
                      <a14:foregroundMark x1="34553" y1="11808" x2="43089" y2="12915"/>
                      <a14:foregroundMark x1="43089" y1="12915" x2="50407" y2="8487"/>
                      <a14:foregroundMark x1="50407" y1="8487" x2="57724" y2="13653"/>
                      <a14:foregroundMark x1="57724" y1="13653" x2="65854" y2="7011"/>
                      <a14:foregroundMark x1="65854" y1="7011" x2="67886" y2="14760"/>
                      <a14:foregroundMark x1="67886" y1="14760" x2="76016" y2="12915"/>
                      <a14:foregroundMark x1="76016" y1="12915" x2="76829" y2="10701"/>
                      <a14:foregroundMark x1="38618" y1="4059" x2="30894" y2="7380"/>
                      <a14:foregroundMark x1="30894" y1="7380" x2="29268" y2="6273"/>
                      <a14:foregroundMark x1="23171" y1="7380" x2="23171" y2="12177"/>
                      <a14:foregroundMark x1="19919" y1="9594" x2="19919" y2="9594"/>
                      <a14:foregroundMark x1="34146" y1="4059" x2="34146" y2="4059"/>
                      <a14:foregroundMark x1="27236" y1="15498" x2="33333" y2="18081"/>
                      <a14:foregroundMark x1="46748" y1="17712" x2="38211" y2="17343"/>
                      <a14:foregroundMark x1="38211" y1="17343" x2="31301" y2="21033"/>
                      <a14:foregroundMark x1="69919" y1="22509" x2="62195" y2="18081"/>
                      <a14:foregroundMark x1="62195" y1="18081" x2="36179" y2="20664"/>
                      <a14:foregroundMark x1="36179" y1="20664" x2="33740" y2="21771"/>
                      <a14:foregroundMark x1="25203" y1="17712" x2="25203" y2="17712"/>
                      <a14:foregroundMark x1="64228" y1="14760" x2="64228" y2="14760"/>
                      <a14:foregroundMark x1="54878" y1="2583" x2="54878" y2="2583"/>
                      <a14:foregroundMark x1="80081" y1="9594" x2="80081" y2="9594"/>
                      <a14:foregroundMark x1="75203" y1="17343" x2="75203" y2="17343"/>
                      <a14:foregroundMark x1="6504" y1="68635" x2="15854" y2="67528"/>
                      <a14:foregroundMark x1="15854" y1="67528" x2="17886" y2="77491"/>
                      <a14:foregroundMark x1="17886" y1="77491" x2="21951" y2="85240"/>
                      <a14:foregroundMark x1="21951" y1="85240" x2="45122" y2="94096"/>
                      <a14:foregroundMark x1="45122" y1="94096" x2="59350" y2="92989"/>
                      <a14:foregroundMark x1="59350" y1="92989" x2="74797" y2="84502"/>
                      <a14:foregroundMark x1="74797" y1="84502" x2="81301" y2="76384"/>
                      <a14:foregroundMark x1="81301" y1="76384" x2="77642" y2="68266"/>
                      <a14:foregroundMark x1="77642" y1="68266" x2="96341" y2="67528"/>
                      <a14:foregroundMark x1="86585" y1="59410" x2="88618" y2="39483"/>
                      <a14:foregroundMark x1="88618" y1="39483" x2="83333" y2="33579"/>
                      <a14:foregroundMark x1="83333" y1="33579" x2="81707" y2="29889"/>
                      <a14:foregroundMark x1="81301" y1="40221" x2="81301" y2="40221"/>
                      <a14:foregroundMark x1="6098" y1="77122" x2="5285" y2="73801"/>
                      <a14:foregroundMark x1="3252" y1="70111" x2="4472" y2="63100"/>
                      <a14:foregroundMark x1="4472" y1="63100" x2="2846" y2="62362"/>
                      <a14:foregroundMark x1="32114" y1="92989" x2="54472" y2="95203"/>
                      <a14:foregroundMark x1="54472" y1="95203" x2="69106" y2="91513"/>
                      <a14:foregroundMark x1="13415" y1="55720" x2="13008" y2="57565"/>
                      <a14:foregroundMark x1="13821" y1="59779" x2="17073" y2="52399"/>
                      <a14:foregroundMark x1="17073" y1="52399" x2="13821" y2="45018"/>
                      <a14:foregroundMark x1="13821" y1="45018" x2="13415" y2="36162"/>
                      <a14:foregroundMark x1="13415" y1="36162" x2="18293" y2="30258"/>
                      <a14:foregroundMark x1="18293" y1="30258" x2="18293" y2="29889"/>
                      <a14:foregroundMark x1="24390" y1="12915" x2="26829" y2="20664"/>
                      <a14:foregroundMark x1="37398" y1="9225" x2="32520" y2="11808"/>
                      <a14:foregroundMark x1="40650" y1="9963" x2="32927" y2="8487"/>
                      <a14:foregroundMark x1="32927" y1="8487" x2="32114" y2="9594"/>
                      <a14:foregroundMark x1="30081" y1="11808" x2="30081" y2="11808"/>
                      <a14:foregroundMark x1="29268" y1="22509" x2="28455" y2="21033"/>
                      <a14:foregroundMark x1="64228" y1="19926" x2="60569" y2="19188"/>
                      <a14:foregroundMark x1="74390" y1="18450" x2="67073" y2="16974"/>
                      <a14:foregroundMark x1="61789" y1="6642" x2="62195" y2="4797"/>
                      <a14:foregroundMark x1="66260" y1="4428" x2="66260" y2="4428"/>
                      <a14:foregroundMark x1="70325" y1="5904" x2="70325" y2="5904"/>
                      <a14:foregroundMark x1="76423" y1="14022" x2="76423" y2="14022"/>
                      <a14:foregroundMark x1="76829" y1="7749" x2="76829" y2="7749"/>
                      <a14:foregroundMark x1="44309" y1="2583" x2="44309" y2="2583"/>
                      <a14:foregroundMark x1="54878" y1="3690" x2="54065" y2="5166"/>
                      <a14:foregroundMark x1="44715" y1="3690" x2="44715" y2="5166"/>
                      <a14:foregroundMark x1="64634" y1="21771" x2="64634" y2="21771"/>
                      <a14:foregroundMark x1="69106" y1="23616" x2="69106" y2="23616"/>
                      <a14:foregroundMark x1="30894" y1="23247" x2="30894" y2="23247"/>
                      <a14:foregroundMark x1="18699" y1="27306" x2="18699" y2="27306"/>
                      <a14:foregroundMark x1="18293" y1="36531" x2="18293" y2="36531"/>
                      <a14:foregroundMark x1="50000" y1="99631" x2="50000" y2="99631"/>
                      <a14:foregroundMark x1="69106" y1="77860" x2="71951" y2="75277"/>
                    </a14:backgroundRemoval>
                  </a14:imgEffect>
                </a14:imgLayer>
              </a14:imgProps>
            </a:ext>
            <a:ext uri="{28A0092B-C50C-407E-A947-70E740481C1C}">
              <a14:useLocalDpi xmlns:a14="http://schemas.microsoft.com/office/drawing/2010/main" val="0"/>
            </a:ext>
          </a:extLst>
        </a:blip>
        <a:stretch>
          <a:fillRect/>
        </a:stretch>
      </xdr:blipFill>
      <xdr:spPr>
        <a:xfrm>
          <a:off x="5941218" y="83342"/>
          <a:ext cx="1083469" cy="11072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3305175</xdr:colOff>
      <xdr:row>0</xdr:row>
      <xdr:rowOff>76200</xdr:rowOff>
    </xdr:from>
    <xdr:to>
      <xdr:col>2</xdr:col>
      <xdr:colOff>7144</xdr:colOff>
      <xdr:row>0</xdr:row>
      <xdr:rowOff>1183481</xdr:rowOff>
    </xdr:to>
    <xdr:pic>
      <xdr:nvPicPr>
        <xdr:cNvPr id="2" name="Imagem 1">
          <a:extLst>
            <a:ext uri="{FF2B5EF4-FFF2-40B4-BE49-F238E27FC236}">
              <a16:creationId xmlns:a16="http://schemas.microsoft.com/office/drawing/2014/main" id="{8B4F6D03-E719-46FB-8308-159170BCF0B5}"/>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738" b="99631" l="2846" r="95935">
                      <a14:foregroundMark x1="39024" y1="14391" x2="39024" y2="14391"/>
                      <a14:foregroundMark x1="42683" y1="15498" x2="34553" y2="11808"/>
                      <a14:foregroundMark x1="34553" y1="11808" x2="43089" y2="12915"/>
                      <a14:foregroundMark x1="43089" y1="12915" x2="50407" y2="8487"/>
                      <a14:foregroundMark x1="50407" y1="8487" x2="57724" y2="13653"/>
                      <a14:foregroundMark x1="57724" y1="13653" x2="65854" y2="7011"/>
                      <a14:foregroundMark x1="65854" y1="7011" x2="67886" y2="14760"/>
                      <a14:foregroundMark x1="67886" y1="14760" x2="76016" y2="12915"/>
                      <a14:foregroundMark x1="76016" y1="12915" x2="76829" y2="10701"/>
                      <a14:foregroundMark x1="38618" y1="4059" x2="30894" y2="7380"/>
                      <a14:foregroundMark x1="30894" y1="7380" x2="29268" y2="6273"/>
                      <a14:foregroundMark x1="23171" y1="7380" x2="23171" y2="12177"/>
                      <a14:foregroundMark x1="19919" y1="9594" x2="19919" y2="9594"/>
                      <a14:foregroundMark x1="34146" y1="4059" x2="34146" y2="4059"/>
                      <a14:foregroundMark x1="27236" y1="15498" x2="33333" y2="18081"/>
                      <a14:foregroundMark x1="46748" y1="17712" x2="38211" y2="17343"/>
                      <a14:foregroundMark x1="38211" y1="17343" x2="31301" y2="21033"/>
                      <a14:foregroundMark x1="69919" y1="22509" x2="62195" y2="18081"/>
                      <a14:foregroundMark x1="62195" y1="18081" x2="36179" y2="20664"/>
                      <a14:foregroundMark x1="36179" y1="20664" x2="33740" y2="21771"/>
                      <a14:foregroundMark x1="25203" y1="17712" x2="25203" y2="17712"/>
                      <a14:foregroundMark x1="64228" y1="14760" x2="64228" y2="14760"/>
                      <a14:foregroundMark x1="54878" y1="2583" x2="54878" y2="2583"/>
                      <a14:foregroundMark x1="80081" y1="9594" x2="80081" y2="9594"/>
                      <a14:foregroundMark x1="75203" y1="17343" x2="75203" y2="17343"/>
                      <a14:foregroundMark x1="6504" y1="68635" x2="15854" y2="67528"/>
                      <a14:foregroundMark x1="15854" y1="67528" x2="17886" y2="77491"/>
                      <a14:foregroundMark x1="17886" y1="77491" x2="21951" y2="85240"/>
                      <a14:foregroundMark x1="21951" y1="85240" x2="45122" y2="94096"/>
                      <a14:foregroundMark x1="45122" y1="94096" x2="59350" y2="92989"/>
                      <a14:foregroundMark x1="59350" y1="92989" x2="74797" y2="84502"/>
                      <a14:foregroundMark x1="74797" y1="84502" x2="81301" y2="76384"/>
                      <a14:foregroundMark x1="81301" y1="76384" x2="77642" y2="68266"/>
                      <a14:foregroundMark x1="77642" y1="68266" x2="96341" y2="67528"/>
                      <a14:foregroundMark x1="86585" y1="59410" x2="88618" y2="39483"/>
                      <a14:foregroundMark x1="88618" y1="39483" x2="83333" y2="33579"/>
                      <a14:foregroundMark x1="83333" y1="33579" x2="81707" y2="29889"/>
                      <a14:foregroundMark x1="81301" y1="40221" x2="81301" y2="40221"/>
                      <a14:foregroundMark x1="6098" y1="77122" x2="5285" y2="73801"/>
                      <a14:foregroundMark x1="3252" y1="70111" x2="4472" y2="63100"/>
                      <a14:foregroundMark x1="4472" y1="63100" x2="2846" y2="62362"/>
                      <a14:foregroundMark x1="32114" y1="92989" x2="54472" y2="95203"/>
                      <a14:foregroundMark x1="54472" y1="95203" x2="69106" y2="91513"/>
                      <a14:foregroundMark x1="13415" y1="55720" x2="13008" y2="57565"/>
                      <a14:foregroundMark x1="13821" y1="59779" x2="17073" y2="52399"/>
                      <a14:foregroundMark x1="17073" y1="52399" x2="13821" y2="45018"/>
                      <a14:foregroundMark x1="13821" y1="45018" x2="13415" y2="36162"/>
                      <a14:foregroundMark x1="13415" y1="36162" x2="18293" y2="30258"/>
                      <a14:foregroundMark x1="18293" y1="30258" x2="18293" y2="29889"/>
                      <a14:foregroundMark x1="24390" y1="12915" x2="26829" y2="20664"/>
                      <a14:foregroundMark x1="37398" y1="9225" x2="32520" y2="11808"/>
                      <a14:foregroundMark x1="40650" y1="9963" x2="32927" y2="8487"/>
                      <a14:foregroundMark x1="32927" y1="8487" x2="32114" y2="9594"/>
                      <a14:foregroundMark x1="30081" y1="11808" x2="30081" y2="11808"/>
                      <a14:foregroundMark x1="29268" y1="22509" x2="28455" y2="21033"/>
                      <a14:foregroundMark x1="64228" y1="19926" x2="60569" y2="19188"/>
                      <a14:foregroundMark x1="74390" y1="18450" x2="67073" y2="16974"/>
                      <a14:foregroundMark x1="61789" y1="6642" x2="62195" y2="4797"/>
                      <a14:foregroundMark x1="66260" y1="4428" x2="66260" y2="4428"/>
                      <a14:foregroundMark x1="70325" y1="5904" x2="70325" y2="5904"/>
                      <a14:foregroundMark x1="76423" y1="14022" x2="76423" y2="14022"/>
                      <a14:foregroundMark x1="76829" y1="7749" x2="76829" y2="7749"/>
                      <a14:foregroundMark x1="44309" y1="2583" x2="44309" y2="2583"/>
                      <a14:foregroundMark x1="54878" y1="3690" x2="54065" y2="5166"/>
                      <a14:foregroundMark x1="44715" y1="3690" x2="44715" y2="5166"/>
                      <a14:foregroundMark x1="64634" y1="21771" x2="64634" y2="21771"/>
                      <a14:foregroundMark x1="69106" y1="23616" x2="69106" y2="23616"/>
                      <a14:foregroundMark x1="30894" y1="23247" x2="30894" y2="23247"/>
                      <a14:foregroundMark x1="18699" y1="27306" x2="18699" y2="27306"/>
                      <a14:foregroundMark x1="18293" y1="36531" x2="18293" y2="36531"/>
                      <a14:foregroundMark x1="50000" y1="99631" x2="50000" y2="99631"/>
                      <a14:foregroundMark x1="69106" y1="77860" x2="71951" y2="75277"/>
                    </a14:backgroundRemoval>
                  </a14:imgEffect>
                </a14:imgLayer>
              </a14:imgProps>
            </a:ext>
            <a:ext uri="{28A0092B-C50C-407E-A947-70E740481C1C}">
              <a14:useLocalDpi xmlns:a14="http://schemas.microsoft.com/office/drawing/2010/main" val="0"/>
            </a:ext>
          </a:extLst>
        </a:blip>
        <a:stretch>
          <a:fillRect/>
        </a:stretch>
      </xdr:blipFill>
      <xdr:spPr>
        <a:xfrm>
          <a:off x="4438650" y="76200"/>
          <a:ext cx="1083469" cy="11072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161925</xdr:colOff>
      <xdr:row>15</xdr:row>
      <xdr:rowOff>190500</xdr:rowOff>
    </xdr:from>
    <xdr:ext cx="4448175" cy="6953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61925" y="5105400"/>
          <a:ext cx="4448175" cy="6953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3</xdr:col>
      <xdr:colOff>3381376</xdr:colOff>
      <xdr:row>0</xdr:row>
      <xdr:rowOff>71438</xdr:rowOff>
    </xdr:from>
    <xdr:to>
      <xdr:col>3</xdr:col>
      <xdr:colOff>4464845</xdr:colOff>
      <xdr:row>0</xdr:row>
      <xdr:rowOff>1178719</xdr:rowOff>
    </xdr:to>
    <xdr:pic>
      <xdr:nvPicPr>
        <xdr:cNvPr id="2" name="Imagem 1">
          <a:extLst>
            <a:ext uri="{FF2B5EF4-FFF2-40B4-BE49-F238E27FC236}">
              <a16:creationId xmlns:a16="http://schemas.microsoft.com/office/drawing/2014/main" id="{1BBC343A-E57F-4413-B929-36F304E18585}"/>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738" b="99631" l="2846" r="95935">
                      <a14:foregroundMark x1="39024" y1="14391" x2="39024" y2="14391"/>
                      <a14:foregroundMark x1="42683" y1="15498" x2="34553" y2="11808"/>
                      <a14:foregroundMark x1="34553" y1="11808" x2="43089" y2="12915"/>
                      <a14:foregroundMark x1="43089" y1="12915" x2="50407" y2="8487"/>
                      <a14:foregroundMark x1="50407" y1="8487" x2="57724" y2="13653"/>
                      <a14:foregroundMark x1="57724" y1="13653" x2="65854" y2="7011"/>
                      <a14:foregroundMark x1="65854" y1="7011" x2="67886" y2="14760"/>
                      <a14:foregroundMark x1="67886" y1="14760" x2="76016" y2="12915"/>
                      <a14:foregroundMark x1="76016" y1="12915" x2="76829" y2="10701"/>
                      <a14:foregroundMark x1="38618" y1="4059" x2="30894" y2="7380"/>
                      <a14:foregroundMark x1="30894" y1="7380" x2="29268" y2="6273"/>
                      <a14:foregroundMark x1="23171" y1="7380" x2="23171" y2="12177"/>
                      <a14:foregroundMark x1="19919" y1="9594" x2="19919" y2="9594"/>
                      <a14:foregroundMark x1="34146" y1="4059" x2="34146" y2="4059"/>
                      <a14:foregroundMark x1="27236" y1="15498" x2="33333" y2="18081"/>
                      <a14:foregroundMark x1="46748" y1="17712" x2="38211" y2="17343"/>
                      <a14:foregroundMark x1="38211" y1="17343" x2="31301" y2="21033"/>
                      <a14:foregroundMark x1="69919" y1="22509" x2="62195" y2="18081"/>
                      <a14:foregroundMark x1="62195" y1="18081" x2="36179" y2="20664"/>
                      <a14:foregroundMark x1="36179" y1="20664" x2="33740" y2="21771"/>
                      <a14:foregroundMark x1="25203" y1="17712" x2="25203" y2="17712"/>
                      <a14:foregroundMark x1="64228" y1="14760" x2="64228" y2="14760"/>
                      <a14:foregroundMark x1="54878" y1="2583" x2="54878" y2="2583"/>
                      <a14:foregroundMark x1="80081" y1="9594" x2="80081" y2="9594"/>
                      <a14:foregroundMark x1="75203" y1="17343" x2="75203" y2="17343"/>
                      <a14:foregroundMark x1="6504" y1="68635" x2="15854" y2="67528"/>
                      <a14:foregroundMark x1="15854" y1="67528" x2="17886" y2="77491"/>
                      <a14:foregroundMark x1="17886" y1="77491" x2="21951" y2="85240"/>
                      <a14:foregroundMark x1="21951" y1="85240" x2="45122" y2="94096"/>
                      <a14:foregroundMark x1="45122" y1="94096" x2="59350" y2="92989"/>
                      <a14:foregroundMark x1="59350" y1="92989" x2="74797" y2="84502"/>
                      <a14:foregroundMark x1="74797" y1="84502" x2="81301" y2="76384"/>
                      <a14:foregroundMark x1="81301" y1="76384" x2="77642" y2="68266"/>
                      <a14:foregroundMark x1="77642" y1="68266" x2="96341" y2="67528"/>
                      <a14:foregroundMark x1="86585" y1="59410" x2="88618" y2="39483"/>
                      <a14:foregroundMark x1="88618" y1="39483" x2="83333" y2="33579"/>
                      <a14:foregroundMark x1="83333" y1="33579" x2="81707" y2="29889"/>
                      <a14:foregroundMark x1="81301" y1="40221" x2="81301" y2="40221"/>
                      <a14:foregroundMark x1="6098" y1="77122" x2="5285" y2="73801"/>
                      <a14:foregroundMark x1="3252" y1="70111" x2="4472" y2="63100"/>
                      <a14:foregroundMark x1="4472" y1="63100" x2="2846" y2="62362"/>
                      <a14:foregroundMark x1="32114" y1="92989" x2="54472" y2="95203"/>
                      <a14:foregroundMark x1="54472" y1="95203" x2="69106" y2="91513"/>
                      <a14:foregroundMark x1="13415" y1="55720" x2="13008" y2="57565"/>
                      <a14:foregroundMark x1="13821" y1="59779" x2="17073" y2="52399"/>
                      <a14:foregroundMark x1="17073" y1="52399" x2="13821" y2="45018"/>
                      <a14:foregroundMark x1="13821" y1="45018" x2="13415" y2="36162"/>
                      <a14:foregroundMark x1="13415" y1="36162" x2="18293" y2="30258"/>
                      <a14:foregroundMark x1="18293" y1="30258" x2="18293" y2="29889"/>
                      <a14:foregroundMark x1="24390" y1="12915" x2="26829" y2="20664"/>
                      <a14:foregroundMark x1="37398" y1="9225" x2="32520" y2="11808"/>
                      <a14:foregroundMark x1="40650" y1="9963" x2="32927" y2="8487"/>
                      <a14:foregroundMark x1="32927" y1="8487" x2="32114" y2="9594"/>
                      <a14:foregroundMark x1="30081" y1="11808" x2="30081" y2="11808"/>
                      <a14:foregroundMark x1="29268" y1="22509" x2="28455" y2="21033"/>
                      <a14:foregroundMark x1="64228" y1="19926" x2="60569" y2="19188"/>
                      <a14:foregroundMark x1="74390" y1="18450" x2="67073" y2="16974"/>
                      <a14:foregroundMark x1="61789" y1="6642" x2="62195" y2="4797"/>
                      <a14:foregroundMark x1="66260" y1="4428" x2="66260" y2="4428"/>
                      <a14:foregroundMark x1="70325" y1="5904" x2="70325" y2="5904"/>
                      <a14:foregroundMark x1="76423" y1="14022" x2="76423" y2="14022"/>
                      <a14:foregroundMark x1="76829" y1="7749" x2="76829" y2="7749"/>
                      <a14:foregroundMark x1="44309" y1="2583" x2="44309" y2="2583"/>
                      <a14:foregroundMark x1="54878" y1="3690" x2="54065" y2="5166"/>
                      <a14:foregroundMark x1="44715" y1="3690" x2="44715" y2="5166"/>
                      <a14:foregroundMark x1="64634" y1="21771" x2="64634" y2="21771"/>
                      <a14:foregroundMark x1="69106" y1="23616" x2="69106" y2="23616"/>
                      <a14:foregroundMark x1="30894" y1="23247" x2="30894" y2="23247"/>
                      <a14:foregroundMark x1="18699" y1="27306" x2="18699" y2="27306"/>
                      <a14:foregroundMark x1="18293" y1="36531" x2="18293" y2="36531"/>
                      <a14:foregroundMark x1="50000" y1="99631" x2="50000" y2="99631"/>
                      <a14:foregroundMark x1="69106" y1="77860" x2="71951" y2="75277"/>
                    </a14:backgroundRemoval>
                  </a14:imgEffect>
                </a14:imgLayer>
              </a14:imgProps>
            </a:ext>
            <a:ext uri="{28A0092B-C50C-407E-A947-70E740481C1C}">
              <a14:useLocalDpi xmlns:a14="http://schemas.microsoft.com/office/drawing/2010/main" val="0"/>
            </a:ext>
          </a:extLst>
        </a:blip>
        <a:stretch>
          <a:fillRect/>
        </a:stretch>
      </xdr:blipFill>
      <xdr:spPr>
        <a:xfrm>
          <a:off x="5822157" y="71438"/>
          <a:ext cx="1083469" cy="11072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631031</xdr:colOff>
      <xdr:row>0</xdr:row>
      <xdr:rowOff>83344</xdr:rowOff>
    </xdr:from>
    <xdr:to>
      <xdr:col>6</xdr:col>
      <xdr:colOff>142875</xdr:colOff>
      <xdr:row>0</xdr:row>
      <xdr:rowOff>1190625</xdr:rowOff>
    </xdr:to>
    <xdr:pic>
      <xdr:nvPicPr>
        <xdr:cNvPr id="2" name="Imagem 1">
          <a:extLst>
            <a:ext uri="{FF2B5EF4-FFF2-40B4-BE49-F238E27FC236}">
              <a16:creationId xmlns:a16="http://schemas.microsoft.com/office/drawing/2014/main" id="{33E9D876-003A-49D9-B67E-89E6BF2E06FE}"/>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738" b="99631" l="2846" r="95935">
                      <a14:foregroundMark x1="39024" y1="14391" x2="39024" y2="14391"/>
                      <a14:foregroundMark x1="42683" y1="15498" x2="34553" y2="11808"/>
                      <a14:foregroundMark x1="34553" y1="11808" x2="43089" y2="12915"/>
                      <a14:foregroundMark x1="43089" y1="12915" x2="50407" y2="8487"/>
                      <a14:foregroundMark x1="50407" y1="8487" x2="57724" y2="13653"/>
                      <a14:foregroundMark x1="57724" y1="13653" x2="65854" y2="7011"/>
                      <a14:foregroundMark x1="65854" y1="7011" x2="67886" y2="14760"/>
                      <a14:foregroundMark x1="67886" y1="14760" x2="76016" y2="12915"/>
                      <a14:foregroundMark x1="76016" y1="12915" x2="76829" y2="10701"/>
                      <a14:foregroundMark x1="38618" y1="4059" x2="30894" y2="7380"/>
                      <a14:foregroundMark x1="30894" y1="7380" x2="29268" y2="6273"/>
                      <a14:foregroundMark x1="23171" y1="7380" x2="23171" y2="12177"/>
                      <a14:foregroundMark x1="19919" y1="9594" x2="19919" y2="9594"/>
                      <a14:foregroundMark x1="34146" y1="4059" x2="34146" y2="4059"/>
                      <a14:foregroundMark x1="27236" y1="15498" x2="33333" y2="18081"/>
                      <a14:foregroundMark x1="46748" y1="17712" x2="38211" y2="17343"/>
                      <a14:foregroundMark x1="38211" y1="17343" x2="31301" y2="21033"/>
                      <a14:foregroundMark x1="69919" y1="22509" x2="62195" y2="18081"/>
                      <a14:foregroundMark x1="62195" y1="18081" x2="36179" y2="20664"/>
                      <a14:foregroundMark x1="36179" y1="20664" x2="33740" y2="21771"/>
                      <a14:foregroundMark x1="25203" y1="17712" x2="25203" y2="17712"/>
                      <a14:foregroundMark x1="64228" y1="14760" x2="64228" y2="14760"/>
                      <a14:foregroundMark x1="54878" y1="2583" x2="54878" y2="2583"/>
                      <a14:foregroundMark x1="80081" y1="9594" x2="80081" y2="9594"/>
                      <a14:foregroundMark x1="75203" y1="17343" x2="75203" y2="17343"/>
                      <a14:foregroundMark x1="6504" y1="68635" x2="15854" y2="67528"/>
                      <a14:foregroundMark x1="15854" y1="67528" x2="17886" y2="77491"/>
                      <a14:foregroundMark x1="17886" y1="77491" x2="21951" y2="85240"/>
                      <a14:foregroundMark x1="21951" y1="85240" x2="45122" y2="94096"/>
                      <a14:foregroundMark x1="45122" y1="94096" x2="59350" y2="92989"/>
                      <a14:foregroundMark x1="59350" y1="92989" x2="74797" y2="84502"/>
                      <a14:foregroundMark x1="74797" y1="84502" x2="81301" y2="76384"/>
                      <a14:foregroundMark x1="81301" y1="76384" x2="77642" y2="68266"/>
                      <a14:foregroundMark x1="77642" y1="68266" x2="96341" y2="67528"/>
                      <a14:foregroundMark x1="86585" y1="59410" x2="88618" y2="39483"/>
                      <a14:foregroundMark x1="88618" y1="39483" x2="83333" y2="33579"/>
                      <a14:foregroundMark x1="83333" y1="33579" x2="81707" y2="29889"/>
                      <a14:foregroundMark x1="81301" y1="40221" x2="81301" y2="40221"/>
                      <a14:foregroundMark x1="6098" y1="77122" x2="5285" y2="73801"/>
                      <a14:foregroundMark x1="3252" y1="70111" x2="4472" y2="63100"/>
                      <a14:foregroundMark x1="4472" y1="63100" x2="2846" y2="62362"/>
                      <a14:foregroundMark x1="32114" y1="92989" x2="54472" y2="95203"/>
                      <a14:foregroundMark x1="54472" y1="95203" x2="69106" y2="91513"/>
                      <a14:foregroundMark x1="13415" y1="55720" x2="13008" y2="57565"/>
                      <a14:foregroundMark x1="13821" y1="59779" x2="17073" y2="52399"/>
                      <a14:foregroundMark x1="17073" y1="52399" x2="13821" y2="45018"/>
                      <a14:foregroundMark x1="13821" y1="45018" x2="13415" y2="36162"/>
                      <a14:foregroundMark x1="13415" y1="36162" x2="18293" y2="30258"/>
                      <a14:foregroundMark x1="18293" y1="30258" x2="18293" y2="29889"/>
                      <a14:foregroundMark x1="24390" y1="12915" x2="26829" y2="20664"/>
                      <a14:foregroundMark x1="37398" y1="9225" x2="32520" y2="11808"/>
                      <a14:foregroundMark x1="40650" y1="9963" x2="32927" y2="8487"/>
                      <a14:foregroundMark x1="32927" y1="8487" x2="32114" y2="9594"/>
                      <a14:foregroundMark x1="30081" y1="11808" x2="30081" y2="11808"/>
                      <a14:foregroundMark x1="29268" y1="22509" x2="28455" y2="21033"/>
                      <a14:foregroundMark x1="64228" y1="19926" x2="60569" y2="19188"/>
                      <a14:foregroundMark x1="74390" y1="18450" x2="67073" y2="16974"/>
                      <a14:foregroundMark x1="61789" y1="6642" x2="62195" y2="4797"/>
                      <a14:foregroundMark x1="66260" y1="4428" x2="66260" y2="4428"/>
                      <a14:foregroundMark x1="70325" y1="5904" x2="70325" y2="5904"/>
                      <a14:foregroundMark x1="76423" y1="14022" x2="76423" y2="14022"/>
                      <a14:foregroundMark x1="76829" y1="7749" x2="76829" y2="7749"/>
                      <a14:foregroundMark x1="44309" y1="2583" x2="44309" y2="2583"/>
                      <a14:foregroundMark x1="54878" y1="3690" x2="54065" y2="5166"/>
                      <a14:foregroundMark x1="44715" y1="3690" x2="44715" y2="5166"/>
                      <a14:foregroundMark x1="64634" y1="21771" x2="64634" y2="21771"/>
                      <a14:foregroundMark x1="69106" y1="23616" x2="69106" y2="23616"/>
                      <a14:foregroundMark x1="30894" y1="23247" x2="30894" y2="23247"/>
                      <a14:foregroundMark x1="18699" y1="27306" x2="18699" y2="27306"/>
                      <a14:foregroundMark x1="18293" y1="36531" x2="18293" y2="36531"/>
                      <a14:foregroundMark x1="50000" y1="99631" x2="50000" y2="99631"/>
                      <a14:foregroundMark x1="69106" y1="77860" x2="71951" y2="75277"/>
                    </a14:backgroundRemoval>
                  </a14:imgEffect>
                </a14:imgLayer>
              </a14:imgProps>
            </a:ext>
            <a:ext uri="{28A0092B-C50C-407E-A947-70E740481C1C}">
              <a14:useLocalDpi xmlns:a14="http://schemas.microsoft.com/office/drawing/2010/main" val="0"/>
            </a:ext>
          </a:extLst>
        </a:blip>
        <a:stretch>
          <a:fillRect/>
        </a:stretch>
      </xdr:blipFill>
      <xdr:spPr>
        <a:xfrm>
          <a:off x="5953125" y="83344"/>
          <a:ext cx="1083469" cy="11072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1273968</xdr:colOff>
      <xdr:row>0</xdr:row>
      <xdr:rowOff>95251</xdr:rowOff>
    </xdr:from>
    <xdr:to>
      <xdr:col>3</xdr:col>
      <xdr:colOff>833437</xdr:colOff>
      <xdr:row>0</xdr:row>
      <xdr:rowOff>1202532</xdr:rowOff>
    </xdr:to>
    <xdr:pic>
      <xdr:nvPicPr>
        <xdr:cNvPr id="6" name="Imagem 5">
          <a:extLst>
            <a:ext uri="{FF2B5EF4-FFF2-40B4-BE49-F238E27FC236}">
              <a16:creationId xmlns:a16="http://schemas.microsoft.com/office/drawing/2014/main" id="{9FC2956B-7713-44FD-BEB4-22182405D00A}"/>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738" b="99631" l="2846" r="95935">
                      <a14:foregroundMark x1="39024" y1="14391" x2="39024" y2="14391"/>
                      <a14:foregroundMark x1="42683" y1="15498" x2="34553" y2="11808"/>
                      <a14:foregroundMark x1="34553" y1="11808" x2="43089" y2="12915"/>
                      <a14:foregroundMark x1="43089" y1="12915" x2="50407" y2="8487"/>
                      <a14:foregroundMark x1="50407" y1="8487" x2="57724" y2="13653"/>
                      <a14:foregroundMark x1="57724" y1="13653" x2="65854" y2="7011"/>
                      <a14:foregroundMark x1="65854" y1="7011" x2="67886" y2="14760"/>
                      <a14:foregroundMark x1="67886" y1="14760" x2="76016" y2="12915"/>
                      <a14:foregroundMark x1="76016" y1="12915" x2="76829" y2="10701"/>
                      <a14:foregroundMark x1="38618" y1="4059" x2="30894" y2="7380"/>
                      <a14:foregroundMark x1="30894" y1="7380" x2="29268" y2="6273"/>
                      <a14:foregroundMark x1="23171" y1="7380" x2="23171" y2="12177"/>
                      <a14:foregroundMark x1="19919" y1="9594" x2="19919" y2="9594"/>
                      <a14:foregroundMark x1="34146" y1="4059" x2="34146" y2="4059"/>
                      <a14:foregroundMark x1="27236" y1="15498" x2="33333" y2="18081"/>
                      <a14:foregroundMark x1="46748" y1="17712" x2="38211" y2="17343"/>
                      <a14:foregroundMark x1="38211" y1="17343" x2="31301" y2="21033"/>
                      <a14:foregroundMark x1="69919" y1="22509" x2="62195" y2="18081"/>
                      <a14:foregroundMark x1="62195" y1="18081" x2="36179" y2="20664"/>
                      <a14:foregroundMark x1="36179" y1="20664" x2="33740" y2="21771"/>
                      <a14:foregroundMark x1="25203" y1="17712" x2="25203" y2="17712"/>
                      <a14:foregroundMark x1="64228" y1="14760" x2="64228" y2="14760"/>
                      <a14:foregroundMark x1="54878" y1="2583" x2="54878" y2="2583"/>
                      <a14:foregroundMark x1="80081" y1="9594" x2="80081" y2="9594"/>
                      <a14:foregroundMark x1="75203" y1="17343" x2="75203" y2="17343"/>
                      <a14:foregroundMark x1="6504" y1="68635" x2="15854" y2="67528"/>
                      <a14:foregroundMark x1="15854" y1="67528" x2="17886" y2="77491"/>
                      <a14:foregroundMark x1="17886" y1="77491" x2="21951" y2="85240"/>
                      <a14:foregroundMark x1="21951" y1="85240" x2="45122" y2="94096"/>
                      <a14:foregroundMark x1="45122" y1="94096" x2="59350" y2="92989"/>
                      <a14:foregroundMark x1="59350" y1="92989" x2="74797" y2="84502"/>
                      <a14:foregroundMark x1="74797" y1="84502" x2="81301" y2="76384"/>
                      <a14:foregroundMark x1="81301" y1="76384" x2="77642" y2="68266"/>
                      <a14:foregroundMark x1="77642" y1="68266" x2="96341" y2="67528"/>
                      <a14:foregroundMark x1="86585" y1="59410" x2="88618" y2="39483"/>
                      <a14:foregroundMark x1="88618" y1="39483" x2="83333" y2="33579"/>
                      <a14:foregroundMark x1="83333" y1="33579" x2="81707" y2="29889"/>
                      <a14:foregroundMark x1="81301" y1="40221" x2="81301" y2="40221"/>
                      <a14:foregroundMark x1="6098" y1="77122" x2="5285" y2="73801"/>
                      <a14:foregroundMark x1="3252" y1="70111" x2="4472" y2="63100"/>
                      <a14:foregroundMark x1="4472" y1="63100" x2="2846" y2="62362"/>
                      <a14:foregroundMark x1="32114" y1="92989" x2="54472" y2="95203"/>
                      <a14:foregroundMark x1="54472" y1="95203" x2="69106" y2="91513"/>
                      <a14:foregroundMark x1="13415" y1="55720" x2="13008" y2="57565"/>
                      <a14:foregroundMark x1="13821" y1="59779" x2="17073" y2="52399"/>
                      <a14:foregroundMark x1="17073" y1="52399" x2="13821" y2="45018"/>
                      <a14:foregroundMark x1="13821" y1="45018" x2="13415" y2="36162"/>
                      <a14:foregroundMark x1="13415" y1="36162" x2="18293" y2="30258"/>
                      <a14:foregroundMark x1="18293" y1="30258" x2="18293" y2="29889"/>
                      <a14:foregroundMark x1="24390" y1="12915" x2="26829" y2="20664"/>
                      <a14:foregroundMark x1="37398" y1="9225" x2="32520" y2="11808"/>
                      <a14:foregroundMark x1="40650" y1="9963" x2="32927" y2="8487"/>
                      <a14:foregroundMark x1="32927" y1="8487" x2="32114" y2="9594"/>
                      <a14:foregroundMark x1="30081" y1="11808" x2="30081" y2="11808"/>
                      <a14:foregroundMark x1="29268" y1="22509" x2="28455" y2="21033"/>
                      <a14:foregroundMark x1="64228" y1="19926" x2="60569" y2="19188"/>
                      <a14:foregroundMark x1="74390" y1="18450" x2="67073" y2="16974"/>
                      <a14:foregroundMark x1="61789" y1="6642" x2="62195" y2="4797"/>
                      <a14:foregroundMark x1="66260" y1="4428" x2="66260" y2="4428"/>
                      <a14:foregroundMark x1="70325" y1="5904" x2="70325" y2="5904"/>
                      <a14:foregroundMark x1="76423" y1="14022" x2="76423" y2="14022"/>
                      <a14:foregroundMark x1="76829" y1="7749" x2="76829" y2="7749"/>
                      <a14:foregroundMark x1="44309" y1="2583" x2="44309" y2="2583"/>
                      <a14:foregroundMark x1="54878" y1="3690" x2="54065" y2="5166"/>
                      <a14:foregroundMark x1="44715" y1="3690" x2="44715" y2="5166"/>
                      <a14:foregroundMark x1="64634" y1="21771" x2="64634" y2="21771"/>
                      <a14:foregroundMark x1="69106" y1="23616" x2="69106" y2="23616"/>
                      <a14:foregroundMark x1="30894" y1="23247" x2="30894" y2="23247"/>
                      <a14:foregroundMark x1="18699" y1="27306" x2="18699" y2="27306"/>
                      <a14:foregroundMark x1="18293" y1="36531" x2="18293" y2="36531"/>
                      <a14:foregroundMark x1="50000" y1="99631" x2="50000" y2="99631"/>
                      <a14:foregroundMark x1="69106" y1="77860" x2="71951" y2="75277"/>
                    </a14:backgroundRemoval>
                  </a14:imgEffect>
                </a14:imgLayer>
              </a14:imgProps>
            </a:ext>
            <a:ext uri="{28A0092B-C50C-407E-A947-70E740481C1C}">
              <a14:useLocalDpi xmlns:a14="http://schemas.microsoft.com/office/drawing/2010/main" val="0"/>
            </a:ext>
          </a:extLst>
        </a:blip>
        <a:stretch>
          <a:fillRect/>
        </a:stretch>
      </xdr:blipFill>
      <xdr:spPr>
        <a:xfrm>
          <a:off x="6179343" y="95251"/>
          <a:ext cx="1083469" cy="1107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HAR&#193;/Downloads/CUB_e_B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 BDI"/>
      <sheetName val="BDI"/>
      <sheetName val="orcamento"/>
      <sheetName val="CUB"/>
      <sheetName val="UB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BreakPreview" zoomScaleNormal="100" zoomScaleSheetLayoutView="100" workbookViewId="0">
      <selection activeCell="C3" sqref="C3:E3"/>
    </sheetView>
  </sheetViews>
  <sheetFormatPr defaultColWidth="12.625" defaultRowHeight="15" customHeight="1"/>
  <cols>
    <col min="1" max="1" width="31.25" style="74" customWidth="1"/>
    <col min="2" max="2" width="11.625" style="74" customWidth="1"/>
    <col min="3" max="3" width="9" style="74" customWidth="1"/>
    <col min="4" max="4" width="9.625" style="74" customWidth="1"/>
    <col min="5" max="5" width="8.375" style="74" customWidth="1"/>
    <col min="6" max="20" width="9" style="74" customWidth="1"/>
    <col min="21" max="26" width="8.625" style="74" customWidth="1"/>
    <col min="27" max="16384" width="12.625" style="74"/>
  </cols>
  <sheetData>
    <row r="1" spans="1:26" ht="43.5" customHeight="1" thickBot="1">
      <c r="A1" s="601" t="s">
        <v>2516</v>
      </c>
      <c r="B1" s="602"/>
      <c r="C1" s="602"/>
      <c r="D1" s="602"/>
      <c r="E1" s="602"/>
      <c r="F1" s="602"/>
      <c r="G1" s="602"/>
      <c r="H1" s="602"/>
      <c r="I1" s="602"/>
      <c r="J1" s="602"/>
      <c r="K1" s="602"/>
      <c r="L1" s="602"/>
      <c r="M1" s="602"/>
      <c r="N1" s="603"/>
      <c r="O1" s="78"/>
      <c r="P1" s="78"/>
      <c r="Q1" s="78"/>
      <c r="R1" s="78"/>
      <c r="S1" s="78"/>
      <c r="T1" s="78"/>
      <c r="U1" s="78"/>
      <c r="V1" s="78"/>
      <c r="W1" s="78"/>
      <c r="X1" s="78"/>
      <c r="Y1" s="78"/>
      <c r="Z1" s="78"/>
    </row>
    <row r="2" spans="1:26" ht="3" customHeight="1" thickBot="1">
      <c r="A2" s="78"/>
      <c r="B2" s="78"/>
      <c r="C2" s="78"/>
      <c r="D2" s="78"/>
      <c r="E2" s="78"/>
      <c r="F2" s="78"/>
      <c r="G2" s="78"/>
      <c r="H2" s="78"/>
      <c r="I2" s="78"/>
      <c r="J2" s="78"/>
      <c r="K2" s="78"/>
      <c r="L2" s="78"/>
      <c r="M2" s="78"/>
      <c r="N2" s="78"/>
      <c r="O2" s="78"/>
      <c r="P2" s="78"/>
      <c r="Q2" s="78"/>
      <c r="R2" s="78"/>
      <c r="S2" s="78"/>
      <c r="T2" s="78"/>
      <c r="U2" s="78"/>
      <c r="V2" s="78"/>
      <c r="W2" s="78"/>
      <c r="X2" s="78"/>
      <c r="Y2" s="78"/>
      <c r="Z2" s="78"/>
    </row>
    <row r="3" spans="1:26" ht="183.75" customHeight="1" thickBot="1">
      <c r="A3" s="454" t="s">
        <v>0</v>
      </c>
      <c r="B3" s="453"/>
      <c r="C3" s="452" t="s">
        <v>1</v>
      </c>
      <c r="D3" s="448"/>
      <c r="E3" s="453"/>
      <c r="F3" s="452" t="s">
        <v>2</v>
      </c>
      <c r="G3" s="448"/>
      <c r="H3" s="453"/>
      <c r="I3" s="452" t="s">
        <v>3</v>
      </c>
      <c r="J3" s="448"/>
      <c r="K3" s="453"/>
      <c r="L3" s="452" t="s">
        <v>4</v>
      </c>
      <c r="M3" s="448"/>
      <c r="N3" s="453"/>
      <c r="O3" s="452" t="s">
        <v>5</v>
      </c>
      <c r="P3" s="448"/>
      <c r="Q3" s="453"/>
      <c r="R3" s="452" t="s">
        <v>6</v>
      </c>
      <c r="S3" s="448"/>
      <c r="T3" s="453"/>
      <c r="U3" s="78"/>
      <c r="V3" s="78"/>
      <c r="W3" s="78"/>
      <c r="X3" s="78"/>
      <c r="Y3" s="78"/>
      <c r="Z3" s="78"/>
    </row>
    <row r="4" spans="1:26" ht="15.75" customHeight="1">
      <c r="A4" s="79" t="s">
        <v>7</v>
      </c>
      <c r="B4" s="80" t="s">
        <v>8</v>
      </c>
      <c r="C4" s="80" t="s">
        <v>9</v>
      </c>
      <c r="D4" s="80" t="s">
        <v>10</v>
      </c>
      <c r="E4" s="80" t="s">
        <v>11</v>
      </c>
      <c r="F4" s="81" t="s">
        <v>9</v>
      </c>
      <c r="G4" s="81" t="s">
        <v>10</v>
      </c>
      <c r="H4" s="81" t="s">
        <v>11</v>
      </c>
      <c r="I4" s="81" t="s">
        <v>9</v>
      </c>
      <c r="J4" s="81" t="s">
        <v>10</v>
      </c>
      <c r="K4" s="81" t="s">
        <v>11</v>
      </c>
      <c r="L4" s="81" t="s">
        <v>9</v>
      </c>
      <c r="M4" s="81" t="s">
        <v>10</v>
      </c>
      <c r="N4" s="81" t="s">
        <v>11</v>
      </c>
      <c r="O4" s="81" t="s">
        <v>9</v>
      </c>
      <c r="P4" s="81" t="s">
        <v>10</v>
      </c>
      <c r="Q4" s="81" t="s">
        <v>11</v>
      </c>
      <c r="R4" s="81" t="s">
        <v>9</v>
      </c>
      <c r="S4" s="81" t="s">
        <v>10</v>
      </c>
      <c r="T4" s="81" t="s">
        <v>11</v>
      </c>
      <c r="U4" s="78"/>
      <c r="V4" s="78"/>
      <c r="W4" s="78"/>
      <c r="X4" s="78"/>
      <c r="Y4" s="78"/>
      <c r="Z4" s="78"/>
    </row>
    <row r="5" spans="1:26" ht="12.75" customHeight="1">
      <c r="A5" s="82" t="s">
        <v>12</v>
      </c>
      <c r="B5" s="83">
        <v>5.5</v>
      </c>
      <c r="C5" s="84">
        <v>3</v>
      </c>
      <c r="D5" s="84">
        <v>4</v>
      </c>
      <c r="E5" s="84">
        <v>5.5</v>
      </c>
      <c r="F5" s="84">
        <v>3.8</v>
      </c>
      <c r="G5" s="85">
        <v>4.01</v>
      </c>
      <c r="H5" s="85">
        <v>4.67</v>
      </c>
      <c r="I5" s="85">
        <v>3.43</v>
      </c>
      <c r="J5" s="85">
        <v>4.93</v>
      </c>
      <c r="K5" s="85">
        <v>6.71</v>
      </c>
      <c r="L5" s="86">
        <v>1.5</v>
      </c>
      <c r="M5" s="86">
        <v>3.45</v>
      </c>
      <c r="N5" s="86">
        <v>4.49</v>
      </c>
      <c r="O5" s="86">
        <v>5.29</v>
      </c>
      <c r="P5" s="86">
        <v>5.92</v>
      </c>
      <c r="Q5" s="86">
        <v>7.93</v>
      </c>
      <c r="R5" s="85">
        <v>4</v>
      </c>
      <c r="S5" s="85">
        <v>5.52</v>
      </c>
      <c r="T5" s="85" t="s">
        <v>13</v>
      </c>
      <c r="U5" s="78"/>
      <c r="V5" s="78"/>
      <c r="W5" s="78"/>
      <c r="X5" s="78"/>
      <c r="Y5" s="78"/>
      <c r="Z5" s="78"/>
    </row>
    <row r="6" spans="1:26" ht="12.75" customHeight="1">
      <c r="A6" s="87" t="s">
        <v>14</v>
      </c>
      <c r="B6" s="88">
        <v>1</v>
      </c>
      <c r="C6" s="89">
        <v>0.8</v>
      </c>
      <c r="D6" s="89">
        <v>0.8</v>
      </c>
      <c r="E6" s="89">
        <v>1</v>
      </c>
      <c r="F6" s="89">
        <v>0.32</v>
      </c>
      <c r="G6" s="86">
        <v>0.4</v>
      </c>
      <c r="H6" s="86">
        <v>0.74</v>
      </c>
      <c r="I6" s="86">
        <v>0.28000000000000003</v>
      </c>
      <c r="J6" s="86">
        <v>0.49</v>
      </c>
      <c r="K6" s="86">
        <v>0.75</v>
      </c>
      <c r="L6" s="86">
        <v>0.3</v>
      </c>
      <c r="M6" s="86">
        <v>0.48</v>
      </c>
      <c r="N6" s="86">
        <v>0.82</v>
      </c>
      <c r="O6" s="86">
        <v>0.25</v>
      </c>
      <c r="P6" s="86">
        <v>0.51</v>
      </c>
      <c r="Q6" s="86">
        <v>0.56000000000000005</v>
      </c>
      <c r="R6" s="86">
        <v>0.81</v>
      </c>
      <c r="S6" s="86">
        <v>1.22</v>
      </c>
      <c r="T6" s="86">
        <v>1.99</v>
      </c>
      <c r="U6" s="78"/>
      <c r="V6" s="78"/>
      <c r="W6" s="78"/>
      <c r="X6" s="78"/>
      <c r="Y6" s="78"/>
      <c r="Z6" s="78"/>
    </row>
    <row r="7" spans="1:26" ht="12.75" customHeight="1">
      <c r="A7" s="87" t="s">
        <v>15</v>
      </c>
      <c r="B7" s="88">
        <v>1.27</v>
      </c>
      <c r="C7" s="89">
        <v>0.97</v>
      </c>
      <c r="D7" s="89">
        <v>1.27</v>
      </c>
      <c r="E7" s="89">
        <v>1.27</v>
      </c>
      <c r="F7" s="89">
        <v>0.5</v>
      </c>
      <c r="G7" s="86">
        <v>0.56000000000000005</v>
      </c>
      <c r="H7" s="86">
        <v>0.97</v>
      </c>
      <c r="I7" s="86">
        <v>1</v>
      </c>
      <c r="J7" s="86">
        <v>1.39</v>
      </c>
      <c r="K7" s="86">
        <v>1.74</v>
      </c>
      <c r="L7" s="86">
        <v>0.56000000000000005</v>
      </c>
      <c r="M7" s="86">
        <v>0.85</v>
      </c>
      <c r="N7" s="86">
        <v>0.89</v>
      </c>
      <c r="O7" s="86">
        <v>1</v>
      </c>
      <c r="P7" s="86">
        <v>1.48</v>
      </c>
      <c r="Q7" s="86">
        <v>1.97</v>
      </c>
      <c r="R7" s="86">
        <v>1.46</v>
      </c>
      <c r="S7" s="86">
        <v>2.3199999999999998</v>
      </c>
      <c r="T7" s="86">
        <v>3.16</v>
      </c>
      <c r="U7" s="78"/>
      <c r="V7" s="78"/>
      <c r="W7" s="78"/>
      <c r="X7" s="78"/>
      <c r="Y7" s="78"/>
      <c r="Z7" s="78"/>
    </row>
    <row r="8" spans="1:26" ht="12.75" customHeight="1">
      <c r="A8" s="87" t="s">
        <v>16</v>
      </c>
      <c r="B8" s="88">
        <v>1.39</v>
      </c>
      <c r="C8" s="89">
        <v>0.59</v>
      </c>
      <c r="D8" s="89">
        <v>1.23</v>
      </c>
      <c r="E8" s="89">
        <v>1.39</v>
      </c>
      <c r="F8" s="89">
        <v>1.02</v>
      </c>
      <c r="G8" s="86">
        <v>1.1100000000000001</v>
      </c>
      <c r="H8" s="89">
        <v>1.21</v>
      </c>
      <c r="I8" s="86">
        <v>0.94</v>
      </c>
      <c r="J8" s="86">
        <v>0.99</v>
      </c>
      <c r="K8" s="89">
        <v>1.17</v>
      </c>
      <c r="L8" s="86">
        <v>0.85</v>
      </c>
      <c r="M8" s="86">
        <v>0.85</v>
      </c>
      <c r="N8" s="89">
        <v>1.1100000000000001</v>
      </c>
      <c r="O8" s="86">
        <v>1.01</v>
      </c>
      <c r="P8" s="86">
        <v>1.07</v>
      </c>
      <c r="Q8" s="89">
        <v>1.1100000000000001</v>
      </c>
      <c r="R8" s="86">
        <v>0.94</v>
      </c>
      <c r="S8" s="86">
        <v>1.02</v>
      </c>
      <c r="T8" s="89">
        <v>1.33</v>
      </c>
      <c r="U8" s="78"/>
      <c r="V8" s="78"/>
      <c r="W8" s="78"/>
      <c r="X8" s="78"/>
      <c r="Y8" s="78"/>
      <c r="Z8" s="78"/>
    </row>
    <row r="9" spans="1:26" ht="12.75" customHeight="1">
      <c r="A9" s="87" t="s">
        <v>17</v>
      </c>
      <c r="B9" s="88">
        <v>7.93</v>
      </c>
      <c r="C9" s="90">
        <v>6.16</v>
      </c>
      <c r="D9" s="91">
        <v>7.4</v>
      </c>
      <c r="E9" s="90">
        <v>8.9600000000000009</v>
      </c>
      <c r="F9" s="92">
        <v>6.64</v>
      </c>
      <c r="G9" s="92">
        <v>7.3</v>
      </c>
      <c r="H9" s="90">
        <v>8.69</v>
      </c>
      <c r="I9" s="92">
        <v>6.74</v>
      </c>
      <c r="J9" s="92">
        <v>8.0399999999999991</v>
      </c>
      <c r="K9" s="90">
        <v>9.4</v>
      </c>
      <c r="L9" s="86">
        <v>3.5</v>
      </c>
      <c r="M9" s="86">
        <v>5.1100000000000003</v>
      </c>
      <c r="N9" s="90">
        <v>6.22</v>
      </c>
      <c r="O9" s="90">
        <v>8</v>
      </c>
      <c r="P9" s="92">
        <v>8.31</v>
      </c>
      <c r="Q9" s="90">
        <v>9.51</v>
      </c>
      <c r="R9" s="92">
        <v>7.14</v>
      </c>
      <c r="S9" s="92">
        <v>8.4</v>
      </c>
      <c r="T9" s="90">
        <v>10.43</v>
      </c>
      <c r="U9" s="78"/>
      <c r="V9" s="78"/>
      <c r="W9" s="78"/>
      <c r="X9" s="78"/>
      <c r="Y9" s="78"/>
      <c r="Z9" s="78"/>
    </row>
    <row r="10" spans="1:26" ht="12.75" customHeight="1">
      <c r="A10" s="93" t="s">
        <v>18</v>
      </c>
      <c r="B10" s="94">
        <v>5.65</v>
      </c>
      <c r="C10" s="455" t="s">
        <v>19</v>
      </c>
      <c r="D10" s="456"/>
      <c r="E10" s="456"/>
      <c r="F10" s="456"/>
      <c r="G10" s="456"/>
      <c r="H10" s="456"/>
      <c r="I10" s="456"/>
      <c r="J10" s="456"/>
      <c r="K10" s="456"/>
      <c r="L10" s="456"/>
      <c r="M10" s="456"/>
      <c r="N10" s="456"/>
      <c r="O10" s="456"/>
      <c r="P10" s="456"/>
      <c r="Q10" s="456"/>
      <c r="R10" s="456"/>
      <c r="S10" s="456"/>
      <c r="T10" s="457"/>
      <c r="U10" s="78"/>
      <c r="V10" s="78"/>
      <c r="W10" s="78"/>
      <c r="X10" s="78"/>
      <c r="Y10" s="78"/>
      <c r="Z10" s="78"/>
    </row>
    <row r="11" spans="1:26" ht="12.75" customHeight="1" thickBot="1">
      <c r="A11" s="78"/>
      <c r="B11" s="78"/>
      <c r="C11" s="95"/>
      <c r="D11" s="95"/>
      <c r="E11" s="95"/>
      <c r="F11" s="78"/>
      <c r="G11" s="78"/>
      <c r="H11" s="78"/>
      <c r="I11" s="78"/>
      <c r="J11" s="78"/>
      <c r="K11" s="78"/>
      <c r="L11" s="78"/>
      <c r="M11" s="78"/>
      <c r="N11" s="78"/>
      <c r="O11" s="78"/>
      <c r="P11" s="78"/>
      <c r="Q11" s="78"/>
      <c r="R11" s="78"/>
      <c r="S11" s="78"/>
      <c r="T11" s="78"/>
      <c r="U11" s="78"/>
      <c r="V11" s="78"/>
      <c r="W11" s="78"/>
      <c r="X11" s="78"/>
      <c r="Y11" s="78"/>
      <c r="Z11" s="78"/>
    </row>
    <row r="12" spans="1:26" ht="12.75" customHeight="1" thickBot="1">
      <c r="B12" s="96"/>
      <c r="C12" s="96"/>
      <c r="D12" s="96"/>
      <c r="E12" s="95"/>
      <c r="F12" s="447" t="s">
        <v>20</v>
      </c>
      <c r="G12" s="448"/>
      <c r="H12" s="448"/>
      <c r="I12" s="448"/>
      <c r="J12" s="448"/>
      <c r="K12" s="448"/>
      <c r="L12" s="448"/>
      <c r="M12" s="448"/>
      <c r="N12" s="453"/>
      <c r="O12" s="78"/>
      <c r="P12" s="78"/>
      <c r="Q12" s="78"/>
      <c r="R12" s="78"/>
      <c r="S12" s="78"/>
      <c r="T12" s="78"/>
      <c r="U12" s="78"/>
      <c r="V12" s="78"/>
      <c r="W12" s="78"/>
      <c r="X12" s="78"/>
      <c r="Y12" s="78"/>
      <c r="Z12" s="78"/>
    </row>
    <row r="13" spans="1:26" ht="18.75" customHeight="1" thickBot="1">
      <c r="A13" s="78"/>
      <c r="B13" s="78"/>
      <c r="C13" s="78"/>
      <c r="D13" s="78"/>
      <c r="E13" s="95"/>
      <c r="F13" s="447" t="s">
        <v>21</v>
      </c>
      <c r="G13" s="448"/>
      <c r="H13" s="448"/>
      <c r="I13" s="448"/>
      <c r="J13" s="448"/>
      <c r="K13" s="448"/>
      <c r="L13" s="97" t="s">
        <v>9</v>
      </c>
      <c r="M13" s="98" t="s">
        <v>10</v>
      </c>
      <c r="N13" s="99" t="s">
        <v>11</v>
      </c>
      <c r="O13" s="78"/>
      <c r="P13" s="96"/>
      <c r="Q13" s="78"/>
      <c r="R13" s="78"/>
      <c r="S13" s="78"/>
      <c r="T13" s="78"/>
      <c r="U13" s="78"/>
      <c r="V13" s="78"/>
      <c r="W13" s="78"/>
      <c r="X13" s="78"/>
      <c r="Y13" s="78"/>
      <c r="Z13" s="78"/>
    </row>
    <row r="14" spans="1:26" ht="25.5" customHeight="1">
      <c r="A14" s="100" t="s">
        <v>22</v>
      </c>
      <c r="B14" s="101">
        <f>ROUND(((1+(B5+B6+B7)/100)*((1+B8/100)*(1+B9/100))/(1-B10/100))-1,4)</f>
        <v>0.25</v>
      </c>
      <c r="C14" s="102"/>
      <c r="D14" s="102"/>
      <c r="E14" s="95"/>
      <c r="F14" s="449" t="s">
        <v>23</v>
      </c>
      <c r="G14" s="450"/>
      <c r="H14" s="450"/>
      <c r="I14" s="450"/>
      <c r="J14" s="450"/>
      <c r="K14" s="451"/>
      <c r="L14" s="103">
        <v>20.34</v>
      </c>
      <c r="M14" s="103">
        <v>22.12</v>
      </c>
      <c r="N14" s="103">
        <v>25</v>
      </c>
      <c r="O14" s="78"/>
      <c r="P14" s="96"/>
      <c r="Q14" s="78"/>
      <c r="R14" s="78"/>
      <c r="S14" s="78"/>
      <c r="T14" s="78"/>
      <c r="U14" s="78"/>
      <c r="V14" s="78"/>
      <c r="W14" s="78"/>
      <c r="X14" s="78"/>
      <c r="Y14" s="78"/>
      <c r="Z14" s="78"/>
    </row>
    <row r="15" spans="1:26" ht="25.5" customHeight="1">
      <c r="A15" s="464" t="s">
        <v>24</v>
      </c>
      <c r="B15" s="456"/>
      <c r="C15" s="456"/>
      <c r="D15" s="457"/>
      <c r="E15" s="95"/>
      <c r="F15" s="458" t="s">
        <v>25</v>
      </c>
      <c r="G15" s="459"/>
      <c r="H15" s="459"/>
      <c r="I15" s="459"/>
      <c r="J15" s="459"/>
      <c r="K15" s="460"/>
      <c r="L15" s="104">
        <v>19.600000000000001</v>
      </c>
      <c r="M15" s="104">
        <v>20.97</v>
      </c>
      <c r="N15" s="104">
        <v>24.23</v>
      </c>
      <c r="O15" s="78"/>
      <c r="P15" s="96"/>
      <c r="Q15" s="78"/>
      <c r="R15" s="78"/>
      <c r="S15" s="78"/>
      <c r="T15" s="78"/>
      <c r="U15" s="78"/>
      <c r="V15" s="78"/>
      <c r="W15" s="78"/>
      <c r="X15" s="78"/>
      <c r="Y15" s="78"/>
      <c r="Z15" s="78"/>
    </row>
    <row r="16" spans="1:26" ht="41.25" customHeight="1">
      <c r="A16" s="105"/>
      <c r="B16" s="102"/>
      <c r="C16" s="102"/>
      <c r="D16" s="102"/>
      <c r="E16" s="106"/>
      <c r="F16" s="458" t="s">
        <v>26</v>
      </c>
      <c r="G16" s="459"/>
      <c r="H16" s="459"/>
      <c r="I16" s="459"/>
      <c r="J16" s="459"/>
      <c r="K16" s="460"/>
      <c r="L16" s="104">
        <v>20.76</v>
      </c>
      <c r="M16" s="104">
        <v>24.18</v>
      </c>
      <c r="N16" s="104">
        <v>26.44</v>
      </c>
      <c r="O16" s="78"/>
      <c r="P16" s="96"/>
      <c r="Q16" s="78"/>
      <c r="R16" s="78"/>
      <c r="S16" s="78"/>
      <c r="T16" s="78"/>
      <c r="U16" s="78"/>
      <c r="V16" s="78"/>
      <c r="W16" s="78"/>
      <c r="X16" s="78"/>
      <c r="Y16" s="78"/>
      <c r="Z16" s="78"/>
    </row>
    <row r="17" spans="1:26" ht="29.25" customHeight="1">
      <c r="A17" s="107"/>
      <c r="B17" s="108"/>
      <c r="C17" s="109"/>
      <c r="D17" s="110"/>
      <c r="E17" s="106"/>
      <c r="F17" s="458" t="s">
        <v>27</v>
      </c>
      <c r="G17" s="459"/>
      <c r="H17" s="459"/>
      <c r="I17" s="459"/>
      <c r="J17" s="459"/>
      <c r="K17" s="460"/>
      <c r="L17" s="104">
        <v>24</v>
      </c>
      <c r="M17" s="104">
        <v>25.84</v>
      </c>
      <c r="N17" s="104">
        <v>27.86</v>
      </c>
      <c r="O17" s="78"/>
      <c r="P17" s="96"/>
      <c r="Q17" s="78"/>
      <c r="R17" s="78"/>
      <c r="S17" s="78"/>
      <c r="T17" s="78"/>
      <c r="U17" s="78"/>
      <c r="V17" s="78"/>
      <c r="W17" s="78"/>
      <c r="X17" s="78"/>
      <c r="Y17" s="78"/>
      <c r="Z17" s="78"/>
    </row>
    <row r="18" spans="1:26" ht="30.75" customHeight="1">
      <c r="A18" s="78"/>
      <c r="B18" s="78"/>
      <c r="C18" s="78"/>
      <c r="D18" s="78"/>
      <c r="E18" s="78"/>
      <c r="F18" s="458" t="s">
        <v>28</v>
      </c>
      <c r="G18" s="459"/>
      <c r="H18" s="459"/>
      <c r="I18" s="459"/>
      <c r="J18" s="459"/>
      <c r="K18" s="460"/>
      <c r="L18" s="104">
        <v>22.8</v>
      </c>
      <c r="M18" s="104">
        <v>27.48</v>
      </c>
      <c r="N18" s="104">
        <v>30.95</v>
      </c>
      <c r="O18" s="78"/>
      <c r="P18" s="96"/>
      <c r="Q18" s="78"/>
      <c r="R18" s="78"/>
      <c r="S18" s="78"/>
      <c r="T18" s="78"/>
      <c r="U18" s="78"/>
      <c r="V18" s="78"/>
      <c r="W18" s="78"/>
      <c r="X18" s="78"/>
      <c r="Y18" s="78"/>
      <c r="Z18" s="78"/>
    </row>
    <row r="19" spans="1:26" ht="22.5" customHeight="1">
      <c r="A19" s="78"/>
      <c r="B19" s="78"/>
      <c r="C19" s="78"/>
      <c r="D19" s="78"/>
      <c r="E19" s="78"/>
      <c r="F19" s="461" t="s">
        <v>29</v>
      </c>
      <c r="G19" s="462"/>
      <c r="H19" s="462"/>
      <c r="I19" s="462"/>
      <c r="J19" s="462"/>
      <c r="K19" s="463"/>
      <c r="L19" s="111">
        <v>11.1</v>
      </c>
      <c r="M19" s="111">
        <v>14.02</v>
      </c>
      <c r="N19" s="111">
        <v>16.8</v>
      </c>
      <c r="O19" s="78"/>
      <c r="P19" s="78"/>
      <c r="Q19" s="78"/>
      <c r="R19" s="78"/>
      <c r="S19" s="78"/>
      <c r="T19" s="78"/>
      <c r="U19" s="78"/>
      <c r="V19" s="78"/>
      <c r="W19" s="78"/>
      <c r="X19" s="78"/>
      <c r="Y19" s="78"/>
      <c r="Z19" s="78"/>
    </row>
    <row r="20" spans="1:26" ht="26.25" customHeight="1">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row>
    <row r="21" spans="1:26" ht="12.7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row>
    <row r="22" spans="1:26" ht="12.75" customHeight="1">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row>
    <row r="23" spans="1:26" ht="12.75" customHeight="1" thickBot="1">
      <c r="A23" s="112" t="s">
        <v>30</v>
      </c>
      <c r="B23" s="113"/>
      <c r="C23" s="113"/>
      <c r="D23" s="113"/>
      <c r="E23" s="78"/>
      <c r="F23" s="78"/>
      <c r="G23" s="78"/>
      <c r="H23" s="78"/>
      <c r="I23" s="78"/>
      <c r="J23" s="78"/>
      <c r="K23" s="78"/>
      <c r="L23" s="78"/>
      <c r="M23" s="78"/>
      <c r="N23" s="78"/>
      <c r="O23" s="78"/>
      <c r="P23" s="78"/>
      <c r="Q23" s="78"/>
      <c r="R23" s="78"/>
      <c r="S23" s="78"/>
      <c r="T23" s="78"/>
      <c r="U23" s="78"/>
      <c r="V23" s="78"/>
      <c r="W23" s="78"/>
      <c r="X23" s="78"/>
      <c r="Y23" s="78"/>
      <c r="Z23" s="78"/>
    </row>
    <row r="24" spans="1:26" ht="12.75" customHeight="1">
      <c r="A24" s="114" t="s">
        <v>31</v>
      </c>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spans="1:26" ht="12.75" customHeight="1">
      <c r="A25" s="96" t="s">
        <v>32</v>
      </c>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spans="1:26" ht="12.75" customHeight="1">
      <c r="A26" s="96" t="s">
        <v>33</v>
      </c>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ht="12.75" customHeight="1">
      <c r="A27" s="96" t="s">
        <v>34</v>
      </c>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ht="12.75"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2.75"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2.75" customHeight="1">
      <c r="A30" s="96" t="s">
        <v>35</v>
      </c>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ht="12.75" customHeight="1">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2.75" customHeight="1">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2.75"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2.75"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2.75"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2.75"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2.75"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2.75"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2.75"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2.75"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2.75"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2.75"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2.75"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2.75"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2.75"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2.75"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2.75"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2.75"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2.75"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2.75"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2.75"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2.7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2.75"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2.75"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2.7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2.7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2.7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2.75"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2.75"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2.75"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2.75"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2.75"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2.75"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2.75"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2.75"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2.75"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2.75"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2.75"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2.75"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2.75"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2.75"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2.75"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2.7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2.7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2.7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2.7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2.7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2.7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2.7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2.7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2.7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2.7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2.7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2.7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2.7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2.7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2.7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2.75"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2.75"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2.75"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2.75"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2.75"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2.75"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2.75"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2.75"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2.75"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2.75"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2.75"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2.75"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2.75"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2.7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2.75"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2.75"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2.75"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2.7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2.7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2.7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2.7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2.7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2.75"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2.75"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2.75"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2.75"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2.75"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2.75"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2.75"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2.75"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2.75"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2.75"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2.75"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2.75"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2.7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2.75"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2.75"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2.75"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2.75"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2.75"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2.75"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2.75"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2.75"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2.75"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2.75"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2.75"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2.75"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2.75"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2.75"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2.75"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2.75"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2.75"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2.75"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2.75"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2.75"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2.75"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2.75"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2.75"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2.7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2.75"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2.75"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2.75"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2.7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2.75"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2.75"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2.75"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2.75"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2.75"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2.7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2.75"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2.7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2.75"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2.75"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2.75"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2.75"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2.75"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2.75"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2.75"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2.75"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2.75"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2.75"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2.75"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2.7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2.75"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2.75"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2.75"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2.75"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2.75"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2.75"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2.75"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2.75"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2.75"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2.75"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2.75"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2.75"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2.75"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2.75"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2.75"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2.7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2.75"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2.75"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2.75"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2.75"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2.7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2.75"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2.75"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2.75"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2.75"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2.75"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2.75"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2.75"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2.75"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2.75"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2.75"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2.75"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2.7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2.75"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2.75"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2.75"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2.75"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2.75"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2.75"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2.75"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2.75"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2.75"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2.75"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2.75"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2.7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2.75"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2.75"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2.75"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2.75"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2.75"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2.75"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2.75"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2.75"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2.75"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2.75"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2.75"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2.75"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2.75"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2.75"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2.75"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2.75"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2.75"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2.75"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2.75"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2.75"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2.75"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2.75"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2.75"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2.75"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2.75"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12.75"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12.75"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12.75"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12.75"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12.7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12.7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12.7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12.7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12.7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12.7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12.7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12.7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12.7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12.7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12.7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2.7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2.7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2.7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2.7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2.7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2.7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2.7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2.7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2.7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2.7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2.7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2.7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2.7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2.7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2.7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2.7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2.7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2.7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2.7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2.7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2.7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2.7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2.7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2.7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2.7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2.7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2.7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2.7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2.7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2.7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2.7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2.7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2.7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2.7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2.7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2.7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2.7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2.7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2.7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2.7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2.7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2.7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2.7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2.7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2.7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2.7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2.7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2.7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2.7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2.7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2.7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2.7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2.7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2.7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2.7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2.7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2.7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2.75"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2.75"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2.75"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2.75"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2.75"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2.75"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2.75"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2.75"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2.75"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2.75"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2.75"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2.75"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2.75"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2.7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2.75"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2.75"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2.75"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2.75"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2.75"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2.75"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2.75"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2.75"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2.75"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2.75"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2.75"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2.7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2.75"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2.75"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2.75"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2.75"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2.75"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2.75"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2.75"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2.75"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2.75"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2.75"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2.75"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2.7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2.75"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2.75"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2.75"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2.75"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2.75"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2.75"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2.75"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2.75"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2.75"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2.75"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2.75"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2.75"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2.75"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2.75"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2.75"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2.75"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2.75"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2.75"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2.75"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2.75"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2.7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2.75"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2.75"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2.75"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2.75"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2.75"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2.75"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2.75"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2.75"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2.75"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2.75"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2.75"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2.7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2.75"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2.75"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2.75"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2.75"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2.75"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2.75"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2.75"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2.75"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2.75"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2.75"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2.75"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2.7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2.75"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2.75"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2.75"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2.75"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2.75"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2.75"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2.75"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2.75"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2.75"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2.75"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2.75"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2.75"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2.75"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2.75"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2.75"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2.75"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2.75"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2.75"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2.75"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2.75"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2.7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2.75"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2.75"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2.75"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2.75"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2.75"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2.75"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2.75"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2.75"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2.75"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2.75"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2.75"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2.7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2.75"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2.75"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2.75"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2.75"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2.75"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2.75"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2.75"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2.75"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2.75"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2.75"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2.75"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2.7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2.75"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2.75"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2.75"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2.75"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2.75"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2.75"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2.75"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2.75"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2.75"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2.75"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2.75"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2.75"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2.75"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2.75"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2.75"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2.75"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2.75"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2.75"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2.75"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2.75"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2.7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2.75"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2.75"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2.75"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2.75"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2.75"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2.75"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2.75"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2.75"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2.75"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2.75"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2.75"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2.7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2.75"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2.75"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2.75"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2.75"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2.75"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2.75"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2.75"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2.75"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2.75"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2.75"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2.75"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2.7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2.75"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2.75"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2.75"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2.75"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2.75"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2.75"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2.75"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2.75"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2.75"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2.75"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2.75"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2.75"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2.75"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2.75"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2.75"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2.75"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2.75"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2.75"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2.75"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2.75"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2.7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2.75"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2.75"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2.75"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2.75"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2.75"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2.75"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2.75"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2.75"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2.75"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2.75"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2.75"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2.7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2.75"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2.75"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2.75"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2.75"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2.75"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2.75"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2.75"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2.75"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2.75"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2.75"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2.75"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2.7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2.75"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2.75"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2.75"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2.75"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2.75"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2.75"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2.75"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2.75"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2.75"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2.75"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2.75"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2.75"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2.75"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2.75"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2.75"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2.75"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2.75"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2.75"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2.75"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2.75"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2.7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2.75"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2.75"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2.75"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2.75"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2.75"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2.75"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2.75"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2.75"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2.75"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2.75"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2.75"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2.7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2.75"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2.75"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2.75"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2.75"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2.75"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2.75"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2.75"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2.75"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2.75"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2.75"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2.75"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2.7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2.75"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2.75"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2.75"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2.75"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2.75"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2.75"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2.75"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2.75"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2.75"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2.75"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2.75"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2.75"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2.75"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2.75"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2.75"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2.75"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2.75"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2.75"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2.75"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2.75"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2.7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2.75"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2.75"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2.75"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2.75"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2.75"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2.75"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2.75"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2.75"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2.75"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2.75"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2.75"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2.7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2.75"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2.75"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2.75"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2.75"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2.75"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2.75"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2.75"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2.75"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2.75"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2.75"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2.75"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2.7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2.75"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2.75"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2.75"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2.75"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2.75"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2.75"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2.75"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2.75"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2.75"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2.75"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2.75"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2.75"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2.75"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2.75"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2.75"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2.75"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2.75"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2.75"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2.75"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2.75"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2.7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2.75"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2.75"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2.75"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2.75"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2.75"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2.75"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2.75"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2.75"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2.75"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2.75"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2.75"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2.7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2.75"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2.75"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2.75"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2.75"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2.75"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2.75"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2.75"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2.75"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2.75"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2.75"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2.75"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2.7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2.75"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2.75"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2.75"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2.75"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2.75"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2.75"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2.75"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2.75"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2.75"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2.75"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2.75"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2.75"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2.75"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2.75"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2.75"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2.75"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2.75"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2.75"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2.75"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2.75"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2.7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2.75"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2.75"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2.75"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2.75"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2.75"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2.75"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2.75"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2.75"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2.75"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2.75"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2.75"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2.7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2.75"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2.75"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2.75"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2.75"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2.75"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2.75"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2.75"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2.75"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2.75"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2.75"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2.75"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2.7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2.75"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2.75"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2.75"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2.75"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2.75"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2.75"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2.75"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2.75"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2.75"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2.75"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2.75"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2.75"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2.75"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2.75"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2.75"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2.75"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2.75"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2.75"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2.75"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2.75"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2.75"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2.75"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2.75"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2.75"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2.75"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2.75"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2.75"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2.75"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2.75"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2.75"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2.75"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2.75"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2.75"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2.75"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2.75"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2.75"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2.75"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2.75"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2.75"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2.75"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2.75"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2.75"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2.75"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2.75"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2.75"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2.75"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2.75"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2.75"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2.75"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2.75"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2.75"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2.75"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2.75"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2.75"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2.75"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2.75"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12.75"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12.75"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12.75"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12.75"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12.75"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12.75"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12.75"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12.75"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12.75"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12.75"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12.75"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12.75"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12.75"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12.75"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12.75"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12.75"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12.75"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12.75"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12.75"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12.75"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12.75"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12.75"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12.75"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12.75"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12.75"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12.75"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12.75"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12.75"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12.75"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12.75"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12.75"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12.75"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12.75"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12.75"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12.75"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12.75"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12.75"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12.75"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12.75"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12.75"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12.75"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12.75"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12.75"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12.75"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12.75"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12.75"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12.75"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12.75"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12.75"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12.75"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12.75"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12.75"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12.75"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12.75"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12.75"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12.75"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12.75"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12.75"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12.75"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12.75"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12.75"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12.75"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12.75"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12.75"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12.75"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12.75"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12.75"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12.75"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12.75"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12.75"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12.75"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12.75"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12.75"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12.75"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12.75"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12.75"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12.75"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12.75"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12.75"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12.75"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12.75"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12.75"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12.75"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12.75"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12.75"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12.75"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12.75"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12.75"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12.75"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12.75"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12.75"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12.75"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12.75"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12.75"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12.75"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12.75"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12.75"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12.75"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12.75"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12.75"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12.75"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12.75"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12.75"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12.75"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12.75"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12.75"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12.75"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12.75"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12.75"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12.75"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12.75"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12.75"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12.75"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12.75"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12.75"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12.75"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12.75"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12.75"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12.75"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12.75"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12.75"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12.75"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12.75"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12.75"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12.75"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12.75"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12.75"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12.75"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12.75"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12.75"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12.75"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12.75"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12.75"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12.75"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12.75"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12.75"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12.75"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12.75"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12.75"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12.75"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12.75"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12.75"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12.75"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12.75"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12.75"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12.75"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12.75"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12.75"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12.75"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12.75"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12.75"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12.75"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12.75"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12.75"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12.75"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12.75"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12.75"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12.75"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12.75"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12.75"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12.75"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12.75"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12.75"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12.75"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12.75"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12.75"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12.75"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12.75"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12.75"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12.75"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12.75"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12.75"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12.75"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12.75"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12.75"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12.75"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12.75"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12.75"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12.75"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12.75"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12.75"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12.75"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12.75"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12.75"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12.75"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12.75"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12.75"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12.75"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12.75"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12.75"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12.75"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12.75"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12.75"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12.75"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12.75"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12.75"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12.75"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12.75"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12.75"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12.75"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12.75"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12.75"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12.75"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12.75"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12.75"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12.75"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12.75"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12.75"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12.75"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12.75"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12.75"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12.75"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12.75"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12.75"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12.75"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12.75"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12.75"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12.75"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12.75"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12.75"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12.75"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12.75"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12.75"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ht="12.75"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ht="12.75"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ht="12.75"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ht="12.75"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ht="12.75"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ht="12.75"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ht="12.75"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ht="12.75"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ht="12.75"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ht="12.75"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spans="1:26" ht="12.75"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mergeCells count="18">
    <mergeCell ref="A1:N1"/>
    <mergeCell ref="F16:K16"/>
    <mergeCell ref="F17:K17"/>
    <mergeCell ref="F18:K18"/>
    <mergeCell ref="F19:K19"/>
    <mergeCell ref="A15:D15"/>
    <mergeCell ref="F15:K15"/>
    <mergeCell ref="A3:B3"/>
    <mergeCell ref="C3:E3"/>
    <mergeCell ref="R3:T3"/>
    <mergeCell ref="C10:T10"/>
    <mergeCell ref="F12:N12"/>
    <mergeCell ref="F13:K13"/>
    <mergeCell ref="F14:K14"/>
    <mergeCell ref="L3:N3"/>
    <mergeCell ref="O3:Q3"/>
    <mergeCell ref="I3:K3"/>
    <mergeCell ref="F3:H3"/>
  </mergeCells>
  <printOptions horizontalCentered="1"/>
  <pageMargins left="0.25" right="0.25" top="0.75" bottom="0.75" header="0.3" footer="0.3"/>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Normal="100" zoomScaleSheetLayoutView="100" workbookViewId="0">
      <selection activeCell="A3" sqref="A3:B3"/>
    </sheetView>
  </sheetViews>
  <sheetFormatPr defaultColWidth="12.625" defaultRowHeight="15" customHeight="1"/>
  <cols>
    <col min="1" max="1" width="27.625" customWidth="1"/>
    <col min="2" max="2" width="11.125" customWidth="1"/>
    <col min="3" max="15" width="9" customWidth="1"/>
    <col min="16" max="26" width="8.625" customWidth="1"/>
  </cols>
  <sheetData>
    <row r="1" spans="1:26" ht="51.75" customHeight="1" thickBot="1">
      <c r="A1" s="604" t="s">
        <v>2516</v>
      </c>
      <c r="B1" s="605"/>
      <c r="C1" s="605"/>
      <c r="D1" s="605"/>
      <c r="E1" s="605"/>
      <c r="F1" s="605"/>
      <c r="G1" s="605"/>
      <c r="H1" s="605"/>
      <c r="I1" s="605"/>
      <c r="J1" s="605"/>
      <c r="K1" s="605"/>
      <c r="L1" s="605"/>
      <c r="M1" s="605"/>
      <c r="N1" s="606"/>
      <c r="O1" s="1"/>
      <c r="P1" s="25"/>
      <c r="Q1" s="25"/>
      <c r="R1" s="25"/>
      <c r="S1" s="25"/>
      <c r="T1" s="25"/>
      <c r="U1" s="25"/>
      <c r="V1" s="25"/>
      <c r="W1" s="25"/>
      <c r="X1" s="25"/>
      <c r="Y1" s="25"/>
      <c r="Z1" s="25"/>
    </row>
    <row r="2" spans="1:26" ht="2.25" customHeight="1" thickBot="1">
      <c r="A2" s="1"/>
      <c r="B2" s="1"/>
      <c r="C2" s="1"/>
      <c r="D2" s="1"/>
      <c r="E2" s="1"/>
      <c r="F2" s="1"/>
      <c r="G2" s="1"/>
      <c r="H2" s="1"/>
      <c r="I2" s="1"/>
      <c r="J2" s="1"/>
      <c r="K2" s="1"/>
      <c r="L2" s="1"/>
      <c r="M2" s="1"/>
      <c r="N2" s="1"/>
      <c r="O2" s="1"/>
      <c r="P2" s="25"/>
      <c r="Q2" s="25"/>
      <c r="R2" s="25"/>
      <c r="S2" s="25"/>
      <c r="T2" s="25"/>
      <c r="U2" s="25"/>
      <c r="V2" s="25"/>
      <c r="W2" s="25"/>
      <c r="X2" s="25"/>
      <c r="Y2" s="25"/>
      <c r="Z2" s="25"/>
    </row>
    <row r="3" spans="1:26" ht="164.25" customHeight="1">
      <c r="A3" s="473" t="s">
        <v>36</v>
      </c>
      <c r="B3" s="474"/>
      <c r="C3" s="475" t="s">
        <v>37</v>
      </c>
      <c r="D3" s="476"/>
      <c r="E3" s="474"/>
      <c r="F3" s="26"/>
      <c r="G3" s="27"/>
      <c r="H3" s="27"/>
      <c r="I3" s="27"/>
      <c r="J3" s="27"/>
      <c r="K3" s="27"/>
      <c r="L3" s="27"/>
      <c r="M3" s="27"/>
      <c r="N3" s="27"/>
      <c r="O3" s="27"/>
      <c r="P3" s="25"/>
      <c r="Q3" s="25"/>
      <c r="R3" s="25"/>
      <c r="S3" s="25"/>
      <c r="T3" s="25"/>
      <c r="U3" s="25"/>
      <c r="V3" s="25"/>
      <c r="W3" s="25"/>
      <c r="X3" s="25"/>
      <c r="Y3" s="25"/>
      <c r="Z3" s="25"/>
    </row>
    <row r="4" spans="1:26" ht="14.25" customHeight="1">
      <c r="A4" s="66" t="s">
        <v>7</v>
      </c>
      <c r="B4" s="28" t="s">
        <v>8</v>
      </c>
      <c r="C4" s="29" t="s">
        <v>9</v>
      </c>
      <c r="D4" s="3" t="s">
        <v>10</v>
      </c>
      <c r="E4" s="30" t="s">
        <v>11</v>
      </c>
      <c r="F4" s="31"/>
      <c r="G4" s="31"/>
      <c r="H4" s="31"/>
      <c r="I4" s="31"/>
      <c r="J4" s="31"/>
      <c r="K4" s="31"/>
      <c r="L4" s="31"/>
      <c r="M4" s="31"/>
      <c r="N4" s="31"/>
      <c r="O4" s="31"/>
      <c r="P4" s="25"/>
      <c r="Q4" s="25"/>
      <c r="R4" s="25"/>
      <c r="S4" s="25"/>
      <c r="T4" s="25"/>
      <c r="U4" s="25"/>
      <c r="V4" s="25"/>
      <c r="W4" s="25"/>
      <c r="X4" s="25"/>
      <c r="Y4" s="25"/>
      <c r="Z4" s="25"/>
    </row>
    <row r="5" spans="1:26" ht="14.25" customHeight="1">
      <c r="A5" s="32" t="s">
        <v>12</v>
      </c>
      <c r="B5" s="115">
        <v>4.49</v>
      </c>
      <c r="C5" s="33">
        <v>1.5</v>
      </c>
      <c r="D5" s="5">
        <v>3.45</v>
      </c>
      <c r="E5" s="34">
        <v>4.49</v>
      </c>
      <c r="F5" s="35"/>
      <c r="G5" s="35"/>
      <c r="H5" s="35"/>
      <c r="I5" s="35"/>
      <c r="J5" s="35"/>
      <c r="K5" s="35"/>
      <c r="L5" s="35"/>
      <c r="M5" s="35"/>
      <c r="N5" s="35"/>
      <c r="O5" s="35"/>
      <c r="P5" s="25"/>
      <c r="Q5" s="25"/>
      <c r="R5" s="25"/>
      <c r="S5" s="25"/>
      <c r="T5" s="25"/>
      <c r="U5" s="25"/>
      <c r="V5" s="25"/>
      <c r="W5" s="25"/>
      <c r="X5" s="25"/>
      <c r="Y5" s="25"/>
      <c r="Z5" s="25"/>
    </row>
    <row r="6" spans="1:26" ht="14.25" customHeight="1">
      <c r="A6" s="36" t="s">
        <v>14</v>
      </c>
      <c r="B6" s="115">
        <v>0.82</v>
      </c>
      <c r="C6" s="37">
        <v>0.3</v>
      </c>
      <c r="D6" s="58">
        <v>0.48</v>
      </c>
      <c r="E6" s="38">
        <v>0.82</v>
      </c>
      <c r="F6" s="35"/>
      <c r="G6" s="35"/>
      <c r="H6" s="35"/>
      <c r="I6" s="35"/>
      <c r="J6" s="35"/>
      <c r="K6" s="35"/>
      <c r="L6" s="35"/>
      <c r="M6" s="35"/>
      <c r="N6" s="35"/>
      <c r="O6" s="35"/>
      <c r="P6" s="25"/>
      <c r="Q6" s="25"/>
      <c r="R6" s="25"/>
      <c r="S6" s="25"/>
      <c r="T6" s="25"/>
      <c r="U6" s="25"/>
      <c r="V6" s="25"/>
      <c r="W6" s="25"/>
      <c r="X6" s="25"/>
      <c r="Y6" s="25"/>
      <c r="Z6" s="25"/>
    </row>
    <row r="7" spans="1:26" ht="14.25" customHeight="1">
      <c r="A7" s="36" t="s">
        <v>15</v>
      </c>
      <c r="B7" s="115">
        <v>0.89</v>
      </c>
      <c r="C7" s="37">
        <v>0.56000000000000005</v>
      </c>
      <c r="D7" s="58">
        <v>0.85</v>
      </c>
      <c r="E7" s="38">
        <v>0.89</v>
      </c>
      <c r="F7" s="35"/>
      <c r="G7" s="35"/>
      <c r="H7" s="35"/>
      <c r="I7" s="35"/>
      <c r="J7" s="35"/>
      <c r="K7" s="35"/>
      <c r="L7" s="35"/>
      <c r="M7" s="35"/>
      <c r="N7" s="35"/>
      <c r="O7" s="35"/>
      <c r="P7" s="25"/>
      <c r="Q7" s="25"/>
      <c r="R7" s="25"/>
      <c r="S7" s="25"/>
      <c r="T7" s="25"/>
      <c r="U7" s="25"/>
      <c r="V7" s="25"/>
      <c r="W7" s="25"/>
      <c r="X7" s="25"/>
      <c r="Y7" s="25"/>
      <c r="Z7" s="25"/>
    </row>
    <row r="8" spans="1:26" ht="14.25" customHeight="1">
      <c r="A8" s="36" t="s">
        <v>16</v>
      </c>
      <c r="B8" s="115">
        <v>1.1100000000000001</v>
      </c>
      <c r="C8" s="37">
        <v>0.85</v>
      </c>
      <c r="D8" s="58">
        <v>0.85</v>
      </c>
      <c r="E8" s="38">
        <v>1.1100000000000001</v>
      </c>
      <c r="F8" s="35"/>
      <c r="G8" s="35"/>
      <c r="H8" s="35"/>
      <c r="I8" s="35"/>
      <c r="J8" s="35"/>
      <c r="K8" s="35"/>
      <c r="L8" s="35"/>
      <c r="M8" s="35"/>
      <c r="N8" s="35"/>
      <c r="O8" s="35"/>
      <c r="P8" s="25"/>
      <c r="Q8" s="25"/>
      <c r="R8" s="25"/>
      <c r="S8" s="25"/>
      <c r="T8" s="25"/>
      <c r="U8" s="25"/>
      <c r="V8" s="25"/>
      <c r="W8" s="25"/>
      <c r="X8" s="25"/>
      <c r="Y8" s="25"/>
      <c r="Z8" s="25"/>
    </row>
    <row r="9" spans="1:26" ht="14.25" customHeight="1">
      <c r="A9" s="36" t="s">
        <v>17</v>
      </c>
      <c r="B9" s="115">
        <v>4.8099999999999996</v>
      </c>
      <c r="C9" s="39">
        <v>3.5</v>
      </c>
      <c r="D9" s="59">
        <v>5.1100000000000003</v>
      </c>
      <c r="E9" s="40">
        <v>6.22</v>
      </c>
      <c r="F9" s="35"/>
      <c r="G9" s="35"/>
      <c r="H9" s="35"/>
      <c r="I9" s="35"/>
      <c r="J9" s="35"/>
      <c r="K9" s="35"/>
      <c r="L9" s="35"/>
      <c r="M9" s="35"/>
      <c r="N9" s="35"/>
      <c r="O9" s="35"/>
      <c r="P9" s="25"/>
      <c r="Q9" s="25"/>
      <c r="R9" s="25"/>
      <c r="S9" s="25"/>
      <c r="T9" s="25"/>
      <c r="U9" s="25"/>
      <c r="V9" s="25"/>
      <c r="W9" s="25"/>
      <c r="X9" s="25"/>
      <c r="Y9" s="25"/>
      <c r="Z9" s="25"/>
    </row>
    <row r="10" spans="1:26" ht="14.25" customHeight="1">
      <c r="A10" s="41" t="s">
        <v>38</v>
      </c>
      <c r="B10" s="116">
        <v>3.65</v>
      </c>
      <c r="C10" s="477" t="s">
        <v>19</v>
      </c>
      <c r="D10" s="478"/>
      <c r="E10" s="479"/>
      <c r="F10" s="9"/>
      <c r="G10" s="9"/>
      <c r="H10" s="9"/>
      <c r="I10" s="9"/>
      <c r="J10" s="9"/>
      <c r="K10" s="9"/>
      <c r="L10" s="9"/>
      <c r="M10" s="9"/>
      <c r="N10" s="9"/>
      <c r="O10" s="9"/>
      <c r="P10" s="25"/>
      <c r="Q10" s="25"/>
      <c r="R10" s="25"/>
      <c r="S10" s="25"/>
      <c r="T10" s="25"/>
      <c r="U10" s="25"/>
      <c r="V10" s="25"/>
      <c r="W10" s="25"/>
      <c r="X10" s="25"/>
      <c r="Y10" s="25"/>
      <c r="Z10" s="25"/>
    </row>
    <row r="11" spans="1:26" ht="14.25" customHeight="1">
      <c r="A11" s="1"/>
      <c r="B11" s="1"/>
      <c r="C11" s="9"/>
      <c r="D11" s="9"/>
      <c r="E11" s="9"/>
      <c r="F11" s="1"/>
      <c r="G11" s="1"/>
      <c r="H11" s="1"/>
      <c r="I11" s="1"/>
      <c r="J11" s="1"/>
      <c r="K11" s="1"/>
      <c r="L11" s="1"/>
      <c r="M11" s="1"/>
      <c r="N11" s="1"/>
      <c r="O11" s="1"/>
      <c r="P11" s="25"/>
      <c r="Q11" s="25"/>
      <c r="R11" s="25"/>
      <c r="S11" s="25"/>
      <c r="T11" s="25"/>
      <c r="U11" s="25"/>
      <c r="V11" s="25"/>
      <c r="W11" s="25"/>
      <c r="X11" s="25"/>
      <c r="Y11" s="25"/>
      <c r="Z11" s="25"/>
    </row>
    <row r="12" spans="1:26" ht="14.25" customHeight="1">
      <c r="A12" s="10"/>
      <c r="B12" s="10"/>
      <c r="C12" s="10"/>
      <c r="D12" s="10"/>
      <c r="E12" s="9"/>
      <c r="F12" s="480" t="s">
        <v>39</v>
      </c>
      <c r="G12" s="481"/>
      <c r="H12" s="481"/>
      <c r="I12" s="481"/>
      <c r="J12" s="481"/>
      <c r="K12" s="481"/>
      <c r="L12" s="481"/>
      <c r="M12" s="481"/>
      <c r="N12" s="482"/>
      <c r="O12" s="1"/>
      <c r="P12" s="25"/>
      <c r="Q12" s="25"/>
      <c r="R12" s="25"/>
      <c r="S12" s="25"/>
      <c r="T12" s="25"/>
      <c r="U12" s="25"/>
      <c r="V12" s="25"/>
      <c r="W12" s="25"/>
      <c r="X12" s="25"/>
      <c r="Y12" s="25"/>
      <c r="Z12" s="25"/>
    </row>
    <row r="13" spans="1:26" ht="19.5" customHeight="1">
      <c r="A13" s="14" t="s">
        <v>22</v>
      </c>
      <c r="B13" s="101">
        <f>ROUND(((1+(B5+B6+B7)/100)*((1+B8/100)*(1+B9/100))/(1-B10/100))-1,4)-0.0001</f>
        <v>0.16800000000000001</v>
      </c>
      <c r="C13" s="1"/>
      <c r="D13" s="1"/>
      <c r="E13" s="9"/>
      <c r="F13" s="480" t="s">
        <v>21</v>
      </c>
      <c r="G13" s="481"/>
      <c r="H13" s="481"/>
      <c r="I13" s="481"/>
      <c r="J13" s="481"/>
      <c r="K13" s="481"/>
      <c r="L13" s="11" t="s">
        <v>9</v>
      </c>
      <c r="M13" s="12" t="s">
        <v>10</v>
      </c>
      <c r="N13" s="13" t="s">
        <v>11</v>
      </c>
      <c r="O13" s="1"/>
      <c r="P13" s="25"/>
      <c r="Q13" s="25"/>
      <c r="R13" s="25"/>
      <c r="S13" s="25"/>
      <c r="T13" s="25"/>
      <c r="U13" s="25"/>
      <c r="V13" s="25"/>
      <c r="W13" s="25"/>
      <c r="X13" s="25"/>
      <c r="Y13" s="25"/>
      <c r="Z13" s="25"/>
    </row>
    <row r="14" spans="1:26" ht="34.5" customHeight="1">
      <c r="A14" s="465" t="s">
        <v>24</v>
      </c>
      <c r="B14" s="466"/>
      <c r="C14" s="466"/>
      <c r="D14" s="467"/>
      <c r="E14" s="9"/>
      <c r="F14" s="468" t="s">
        <v>37</v>
      </c>
      <c r="G14" s="469"/>
      <c r="H14" s="469"/>
      <c r="I14" s="469"/>
      <c r="J14" s="469"/>
      <c r="K14" s="470"/>
      <c r="L14" s="42">
        <v>11.1</v>
      </c>
      <c r="M14" s="42">
        <v>14.02</v>
      </c>
      <c r="N14" s="43">
        <v>16.8</v>
      </c>
      <c r="O14" s="1"/>
      <c r="P14" s="25"/>
      <c r="Q14" s="25"/>
      <c r="R14" s="25"/>
      <c r="S14" s="25"/>
      <c r="T14" s="25"/>
      <c r="U14" s="25"/>
      <c r="V14" s="25"/>
      <c r="W14" s="25"/>
      <c r="X14" s="25"/>
      <c r="Y14" s="25"/>
      <c r="Z14" s="25"/>
    </row>
    <row r="15" spans="1:26" ht="34.5" customHeight="1">
      <c r="A15" s="44"/>
      <c r="B15" s="45"/>
      <c r="C15" s="45"/>
      <c r="D15" s="46"/>
      <c r="E15" s="9"/>
      <c r="F15" s="47"/>
      <c r="G15" s="48"/>
      <c r="H15" s="48"/>
      <c r="I15" s="48"/>
      <c r="J15" s="48"/>
      <c r="K15" s="48"/>
      <c r="L15" s="49"/>
      <c r="M15" s="49"/>
      <c r="N15" s="49"/>
      <c r="O15" s="1"/>
      <c r="P15" s="25"/>
      <c r="Q15" s="25"/>
      <c r="R15" s="25"/>
      <c r="S15" s="25"/>
      <c r="T15" s="25"/>
      <c r="U15" s="25"/>
      <c r="V15" s="25"/>
      <c r="W15" s="25"/>
      <c r="X15" s="25"/>
      <c r="Y15" s="25"/>
      <c r="Z15" s="25"/>
    </row>
    <row r="16" spans="1:26" ht="27" customHeight="1">
      <c r="A16" s="50"/>
      <c r="B16" s="1"/>
      <c r="C16" s="1"/>
      <c r="D16" s="51"/>
      <c r="E16" s="1"/>
      <c r="F16" s="471"/>
      <c r="G16" s="472"/>
      <c r="H16" s="472"/>
      <c r="I16" s="472"/>
      <c r="J16" s="472"/>
      <c r="K16" s="472"/>
      <c r="L16" s="52"/>
      <c r="M16" s="52"/>
      <c r="N16" s="52"/>
      <c r="O16" s="1"/>
      <c r="P16" s="25"/>
      <c r="Q16" s="25"/>
      <c r="R16" s="25"/>
      <c r="S16" s="25"/>
      <c r="T16" s="25"/>
      <c r="U16" s="25"/>
      <c r="V16" s="25"/>
      <c r="W16" s="25"/>
      <c r="X16" s="25"/>
      <c r="Y16" s="25"/>
      <c r="Z16" s="25"/>
    </row>
    <row r="17" spans="1:26" ht="24" customHeight="1">
      <c r="A17" s="53"/>
      <c r="B17" s="54"/>
      <c r="C17" s="54"/>
      <c r="D17" s="55"/>
      <c r="E17" s="1"/>
      <c r="F17" s="48"/>
      <c r="G17" s="48"/>
      <c r="H17" s="48"/>
      <c r="I17" s="48"/>
      <c r="J17" s="48"/>
      <c r="K17" s="48"/>
      <c r="L17" s="52"/>
      <c r="M17" s="52"/>
      <c r="N17" s="52"/>
      <c r="O17" s="1"/>
      <c r="P17" s="25"/>
      <c r="Q17" s="25"/>
      <c r="R17" s="25"/>
      <c r="S17" s="25"/>
      <c r="T17" s="25"/>
      <c r="U17" s="25"/>
      <c r="V17" s="25"/>
      <c r="W17" s="25"/>
      <c r="X17" s="25"/>
      <c r="Y17" s="25"/>
      <c r="Z17" s="25"/>
    </row>
    <row r="18" spans="1:26" ht="14.25" customHeight="1">
      <c r="A18" s="1"/>
      <c r="B18" s="1"/>
      <c r="C18" s="1"/>
      <c r="D18" s="1"/>
      <c r="E18" s="1"/>
      <c r="F18" s="1"/>
      <c r="G18" s="1"/>
      <c r="H18" s="1"/>
      <c r="I18" s="1"/>
      <c r="J18" s="1"/>
      <c r="K18" s="1"/>
      <c r="L18" s="1"/>
      <c r="M18" s="1"/>
      <c r="N18" s="1"/>
      <c r="O18" s="1"/>
      <c r="P18" s="25"/>
      <c r="Q18" s="25"/>
      <c r="R18" s="25"/>
      <c r="S18" s="25"/>
      <c r="T18" s="25"/>
      <c r="U18" s="25"/>
      <c r="V18" s="25"/>
      <c r="W18" s="25"/>
      <c r="X18" s="25"/>
      <c r="Y18" s="25"/>
      <c r="Z18" s="25"/>
    </row>
    <row r="19" spans="1:26" ht="14.25" customHeight="1">
      <c r="A19" s="64" t="s">
        <v>30</v>
      </c>
      <c r="B19" s="65"/>
      <c r="C19" s="65"/>
      <c r="D19" s="65"/>
      <c r="E19" s="1"/>
      <c r="F19" s="1"/>
      <c r="G19" s="1"/>
      <c r="H19" s="1"/>
      <c r="I19" s="1"/>
      <c r="J19" s="1"/>
      <c r="K19" s="1"/>
      <c r="L19" s="1"/>
      <c r="M19" s="1"/>
      <c r="N19" s="1"/>
      <c r="O19" s="1"/>
      <c r="P19" s="25"/>
      <c r="Q19" s="25"/>
      <c r="R19" s="25"/>
      <c r="S19" s="25"/>
      <c r="T19" s="25"/>
      <c r="U19" s="25"/>
      <c r="V19" s="25"/>
      <c r="W19" s="25"/>
      <c r="X19" s="25"/>
      <c r="Y19" s="25"/>
      <c r="Z19" s="25"/>
    </row>
    <row r="20" spans="1:26" ht="14.25" customHeight="1">
      <c r="A20" s="24" t="s">
        <v>31</v>
      </c>
      <c r="B20" s="1"/>
      <c r="C20" s="1"/>
      <c r="D20" s="1"/>
      <c r="E20" s="1"/>
      <c r="F20" s="1"/>
      <c r="G20" s="1"/>
      <c r="H20" s="1"/>
      <c r="I20" s="1"/>
      <c r="J20" s="1"/>
      <c r="K20" s="1"/>
      <c r="L20" s="1"/>
      <c r="M20" s="1"/>
      <c r="N20" s="1"/>
      <c r="O20" s="1"/>
      <c r="P20" s="25"/>
      <c r="Q20" s="25"/>
      <c r="R20" s="25"/>
      <c r="S20" s="25"/>
      <c r="T20" s="25"/>
      <c r="U20" s="25"/>
      <c r="V20" s="25"/>
      <c r="W20" s="25"/>
      <c r="X20" s="25"/>
      <c r="Y20" s="25"/>
      <c r="Z20" s="25"/>
    </row>
    <row r="21" spans="1:26" ht="14.25" customHeight="1">
      <c r="A21" s="10" t="s">
        <v>32</v>
      </c>
      <c r="B21" s="1"/>
      <c r="C21" s="1"/>
      <c r="D21" s="1"/>
      <c r="E21" s="1"/>
      <c r="F21" s="1"/>
      <c r="G21" s="1"/>
      <c r="H21" s="1"/>
      <c r="I21" s="1"/>
      <c r="J21" s="1"/>
      <c r="K21" s="1"/>
      <c r="L21" s="1"/>
      <c r="M21" s="1"/>
      <c r="N21" s="1"/>
      <c r="O21" s="1"/>
      <c r="P21" s="25"/>
      <c r="Q21" s="25"/>
      <c r="R21" s="25"/>
      <c r="S21" s="25"/>
      <c r="T21" s="25"/>
      <c r="U21" s="25"/>
      <c r="V21" s="25"/>
      <c r="W21" s="25"/>
      <c r="X21" s="25"/>
      <c r="Y21" s="25"/>
      <c r="Z21" s="25"/>
    </row>
    <row r="22" spans="1:26" ht="14.25" customHeight="1">
      <c r="A22" s="10" t="s">
        <v>33</v>
      </c>
      <c r="B22" s="1"/>
      <c r="C22" s="1"/>
      <c r="D22" s="1"/>
      <c r="E22" s="1"/>
      <c r="F22" s="1"/>
      <c r="G22" s="1"/>
      <c r="H22" s="1"/>
      <c r="I22" s="1"/>
      <c r="J22" s="1"/>
      <c r="K22" s="1"/>
      <c r="L22" s="1"/>
      <c r="M22" s="1"/>
      <c r="N22" s="1"/>
      <c r="O22" s="1"/>
      <c r="P22" s="25"/>
      <c r="Q22" s="25"/>
      <c r="R22" s="25"/>
      <c r="S22" s="25"/>
      <c r="T22" s="25"/>
      <c r="U22" s="25"/>
      <c r="V22" s="25"/>
      <c r="W22" s="25"/>
      <c r="X22" s="25"/>
      <c r="Y22" s="25"/>
      <c r="Z22" s="25"/>
    </row>
    <row r="23" spans="1:26" ht="14.25" customHeight="1">
      <c r="A23" s="10" t="s">
        <v>34</v>
      </c>
      <c r="B23" s="1"/>
      <c r="C23" s="1"/>
      <c r="D23" s="1"/>
      <c r="E23" s="1"/>
      <c r="F23" s="1"/>
      <c r="G23" s="1"/>
      <c r="H23" s="1"/>
      <c r="I23" s="1"/>
      <c r="J23" s="1"/>
      <c r="K23" s="1"/>
      <c r="L23" s="1"/>
      <c r="M23" s="1"/>
      <c r="N23" s="1"/>
      <c r="O23" s="1"/>
      <c r="P23" s="25"/>
      <c r="Q23" s="25"/>
      <c r="R23" s="25"/>
      <c r="S23" s="25"/>
      <c r="T23" s="25"/>
      <c r="U23" s="25"/>
      <c r="V23" s="25"/>
      <c r="W23" s="25"/>
      <c r="X23" s="25"/>
      <c r="Y23" s="25"/>
      <c r="Z23" s="25"/>
    </row>
    <row r="24" spans="1:26" ht="14.25" customHeight="1">
      <c r="A24" s="1"/>
      <c r="B24" s="1"/>
      <c r="C24" s="1"/>
      <c r="D24" s="1"/>
      <c r="E24" s="1"/>
      <c r="F24" s="1"/>
      <c r="G24" s="1"/>
      <c r="H24" s="1"/>
      <c r="I24" s="1"/>
      <c r="J24" s="1"/>
      <c r="K24" s="1"/>
      <c r="L24" s="1"/>
      <c r="M24" s="1"/>
      <c r="N24" s="1"/>
      <c r="O24" s="1"/>
      <c r="P24" s="25"/>
      <c r="Q24" s="25"/>
      <c r="R24" s="25"/>
      <c r="S24" s="25"/>
      <c r="T24" s="25"/>
      <c r="U24" s="25"/>
      <c r="V24" s="25"/>
      <c r="W24" s="25"/>
      <c r="X24" s="25"/>
      <c r="Y24" s="25"/>
      <c r="Z24" s="25"/>
    </row>
    <row r="25" spans="1:26" ht="14.25" customHeight="1">
      <c r="A25" s="1"/>
      <c r="B25" s="1"/>
      <c r="C25" s="1"/>
      <c r="D25" s="1"/>
      <c r="E25" s="1"/>
      <c r="F25" s="1"/>
      <c r="G25" s="1"/>
      <c r="H25" s="1"/>
      <c r="I25" s="1"/>
      <c r="J25" s="1"/>
      <c r="K25" s="1"/>
      <c r="L25" s="1"/>
      <c r="M25" s="1"/>
      <c r="N25" s="1"/>
      <c r="O25" s="1"/>
      <c r="P25" s="25"/>
      <c r="Q25" s="25"/>
      <c r="R25" s="25"/>
      <c r="S25" s="25"/>
      <c r="T25" s="25"/>
      <c r="U25" s="25"/>
      <c r="V25" s="25"/>
      <c r="W25" s="25"/>
      <c r="X25" s="25"/>
      <c r="Y25" s="25"/>
      <c r="Z25" s="25"/>
    </row>
    <row r="26" spans="1:26" ht="14.25" customHeight="1">
      <c r="A26" s="10" t="s">
        <v>35</v>
      </c>
      <c r="B26" s="1"/>
      <c r="C26" s="1"/>
      <c r="D26" s="1"/>
      <c r="E26" s="1"/>
      <c r="F26" s="1"/>
      <c r="G26" s="1"/>
      <c r="H26" s="1"/>
      <c r="I26" s="1"/>
      <c r="J26" s="1"/>
      <c r="K26" s="1"/>
      <c r="L26" s="1"/>
      <c r="M26" s="1"/>
      <c r="N26" s="1"/>
      <c r="O26" s="1"/>
      <c r="P26" s="25"/>
      <c r="Q26" s="25"/>
      <c r="R26" s="25"/>
      <c r="S26" s="25"/>
      <c r="T26" s="25"/>
      <c r="U26" s="25"/>
      <c r="V26" s="25"/>
      <c r="W26" s="25"/>
      <c r="X26" s="25"/>
      <c r="Y26" s="25"/>
      <c r="Z26" s="25"/>
    </row>
    <row r="27" spans="1:26" ht="14.2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4.2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4.2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4.2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4.2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4.2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4.2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4.25"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4.2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4.25"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4.2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4.2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4.2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4.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4.25"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4.2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4.2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4.2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4.2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4.2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4.2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4.2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4.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4.2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4.2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4.2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4.2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4.2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4.2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4.2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4.2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4.2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4.2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4.2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4.2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4.2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4.2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4.2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4.2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4.2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4.2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4.2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4.2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4.2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4.2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4.2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4.2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4.2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4.2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4.2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4.2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4.2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4.2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4.2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4.2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4.2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4.2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4.2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4.2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4.2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4.2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4.2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4.2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4.2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4.2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4.2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4.2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4.2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4.2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4.2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4.2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4.2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4.2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4.2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4.2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4.2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4.2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4.2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4.2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4.2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4.2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4.2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4.2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4.2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4.2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4.2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4.2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4.2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4.2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4.2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4.2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4.2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4.2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4.2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4.2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4.2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4.2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4.2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4.2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4.2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4.2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4.2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4.2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4.2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4.2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4.2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4.2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4.2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4.2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4.2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4.2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4.2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4.2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4.2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4.2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4.2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4.2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4.2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4.2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4.2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4.2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4.2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4.2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4.2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4.2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4.2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4.2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4.2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4.2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4.2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4.2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4.2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4.2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4.2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4.2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4.2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4.2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4.2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4.2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4.2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4.2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4.2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4.2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4.2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4.2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4.2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4.2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4.2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4.2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4.2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4.2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4.2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4.2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4.2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4.2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4.2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4.2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4.2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4.2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4.2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4.2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4.2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4.2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4.2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4.2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4.2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4.2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4.2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4.2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4.2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4.2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4.2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4.2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4.2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4.2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4.2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4.2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4.2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4.2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4.2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4.2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4.2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4.2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4.2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4.2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4.2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4.2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4.2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4.2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4.2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4.2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4.2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4.2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4.2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4.2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4.2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4.2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4.2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4.2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4.2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4.2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4.2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4.2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4.2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4.2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4.2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4.2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4.2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4.2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4.2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4.2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4.2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4.2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4.2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4.2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4.2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4.2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4.2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4.2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4.2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4.2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4.2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4.2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4.2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4.2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4.2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4.2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4.2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4.2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4.2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4.2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4.2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4.2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4.2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4.2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4.2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4.2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4.2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4.2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4.2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4.2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4.2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4.2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4.2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4.2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4.2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4.2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4.2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4.2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4.2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4.2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4.2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4.2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4.2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4.2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4.2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4.2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4.2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4.2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4.2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4.2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4.2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4.2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4.2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4.2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4.2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4.2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4.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4.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4.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4.2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4.2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4.2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4.2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4.2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4.2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4.2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4.2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4.2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4.2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4.2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4.2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4.2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4.2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4.2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4.2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4.2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4.2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4.2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4.2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4.2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4.2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4.2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4.2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4.2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4.2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4.2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4.2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4.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4.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4.2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4.2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4.2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4.2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4.2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4.2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4.2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4.2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4.2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4.2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4.2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4.2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4.2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4.2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4.2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4.2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4.2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4.2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4.2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4.2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4.2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4.2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4.2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4.2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4.2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4.2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4.2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4.2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4.2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4.2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4.2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4.2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4.2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4.2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4.2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4.2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4.2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4.2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4.2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4.2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4.2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4.2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4.2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4.2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4.2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4.2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4.2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4.2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4.2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4.2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4.2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4.2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4.2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4.2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4.2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4.2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4.2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4.2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4.2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4.2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4.2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4.2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4.2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4.2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4.2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4.2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4.2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4.2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4.2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4.2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4.2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4.2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4.2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4.2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4.2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4.2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4.2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4.2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4.2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4.2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4.2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4.2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4.2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4.2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4.2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4.2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4.2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4.2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4.2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4.2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4.2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4.2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4.2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4.2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4.2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4.2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4.2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4.2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4.2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4.2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4.2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4.2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4.2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4.2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4.2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4.2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4.2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4.2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4.2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4.2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4.2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4.2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4.2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4.2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4.2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4.2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4.2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4.2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4.2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4.2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4.2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4.2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4.2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4.2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4.2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4.2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4.2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4.2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4.2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4.2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4.2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4.2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4.2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4.2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4.2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4.2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4.2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4.2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4.2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4.2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4.2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4.2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4.2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4.2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4.2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4.2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4.2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4.2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4.2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4.2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4.2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4.2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4.2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4.2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4.2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4.2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4.2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4.2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4.2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4.2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4.2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4.2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4.2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4.2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4.2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4.2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4.2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4.2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4.2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4.2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4.2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4.2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4.2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4.2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4.2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4.2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4.2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4.2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4.2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4.2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4.2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4.2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4.2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4.2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4.2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4.2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4.2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4.2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4.2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4.2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4.2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4.2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4.2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4.2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4.2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4.2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4.2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4.2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4.2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4.2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4.2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4.2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4.2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4.2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4.2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4.2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4.2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4.2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4.2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4.2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4.2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4.2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4.2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4.2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4.2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4.2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4.2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4.2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4.2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4.2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4.2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4.2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4.2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4.2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4.2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4.2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4.2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4.2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4.2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4.2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4.2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4.2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4.2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4.2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4.2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4.2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4.2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4.2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4.2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4.2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4.2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4.2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4.2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4.2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4.2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4.2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4.2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4.2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4.2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4.2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4.2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4.2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4.2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4.2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4.2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4.2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4.2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4.2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4.2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4.2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4.2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4.2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4.2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4.2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4.2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4.2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4.2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4.2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4.2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4.2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4.2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4.2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4.2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4.2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4.2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4.2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4.2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4.2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4.2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4.2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4.2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4.2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4.2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4.2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4.2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4.2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4.2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4.2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4.2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4.2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4.2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4.2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4.2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4.2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4.2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4.2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4.2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4.2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4.2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4.2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4.2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4.2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4.2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4.2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4.2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4.2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4.2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4.2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4.2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4.2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4.2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4.2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4.2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4.2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4.2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4.2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4.2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4.2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4.2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4.2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4.2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4.2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4.2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4.2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4.2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4.2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4.2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4.2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4.2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4.2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4.2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4.2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4.2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4.2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4.2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4.2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4.2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4.2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4.2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4.2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4.2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4.2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4.2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4.2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4.2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4.2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4.2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4.2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4.2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4.2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4.2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4.2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4.2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4.2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4.2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4.2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4.2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4.2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4.2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4.2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4.2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4.2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4.2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4.2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4.2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4.2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4.2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4.2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4.2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4.2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4.2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4.2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4.2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4.2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4.2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4.2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4.2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4.2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4.2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4.2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4.2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4.2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4.2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4.2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4.2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4.2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4.2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4.2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4.2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4.2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4.2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4.2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4.2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4.2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4.2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4.2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4.2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4.2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4.2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4.2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4.2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4.2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4.2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4.2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4.2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4.2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4.2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4.2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4.2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4.2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4.2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4.2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4.2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4.2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4.2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4.2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4.2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4.2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4.2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4.2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4.2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4.2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4.2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4.2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4.2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4.2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4.2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4.2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4.2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4.2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4.2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4.2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4.2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4.2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4.2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4.2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4.2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4.2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4.2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4.2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4.2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4.2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4.2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4.2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4.2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4.2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4.2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4.2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4.2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4.2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4.2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4.2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4.2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4.2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4.2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4.2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4.2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4.2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4.2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4.2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4.2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4.2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4.2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4.2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4.2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4.2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4.2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4.2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4.2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4.2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4.2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4.2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4.2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4.2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4.2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4.2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4.2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4.2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4.2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4.2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4.2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4.2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4.2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4.2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4.2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4.2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4.2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4.2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4.2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4.2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4.2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4.2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4.2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4.2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4.2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4.2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4.2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4.2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4.2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4.2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4.2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4.2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4.2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4.2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4.2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4.2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4.2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4.2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4.2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4.2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4.2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4.2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4.2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4.2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4.2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4.2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4.2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4.2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4.2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4.2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4.2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4.2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4.2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4.2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4.2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4.2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4.2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4.2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4.2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4.2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4.2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4.2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4.2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4.2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4.2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4.2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4.2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4.2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4.2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4.2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4.2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4.2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4.2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4.2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4.2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4.2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4.2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4.2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4.2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4.2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4.2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4.2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4.2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4.2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4.2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4.2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4.2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4.2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4.2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4.2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4.2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4.2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4.2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4.2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4.2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4.2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4.2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4.2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4.2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4.2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4.2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4.2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4.2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4.2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4.2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4.2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4.2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4.2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4.2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4.2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4.2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4.2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4.2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4.2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4.2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4.2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4.2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4.2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4.2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4.2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4.2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4.2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4.2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4.2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4.2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4.2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4.2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4.2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4.2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4.2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4.2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4.2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4.2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4.2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4.2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4.2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4.2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4.2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4.2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4.2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4.2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4.2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4.2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4.2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4.2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4.2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4.2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4.2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4.2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4.2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4.2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4.2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4.2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4.2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4.2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4.2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4.2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4.2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4.2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4.2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4.2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4.2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4.2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4.2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4.2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4.2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4.2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4.2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4.2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4.2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4.2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4.2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4.2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4.2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4.2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4.2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4.2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4.2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4.2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4.2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4.2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4.2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4.2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4.2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4.2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4.2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4.2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4.2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4.2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4.2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4.2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4.2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4.2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4.2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4.2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4.2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4.2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4.2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4.2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4.2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4.2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4.2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4.2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4.2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9">
    <mergeCell ref="A1:N1"/>
    <mergeCell ref="A14:D14"/>
    <mergeCell ref="F14:K14"/>
    <mergeCell ref="F16:K16"/>
    <mergeCell ref="A3:B3"/>
    <mergeCell ref="C3:E3"/>
    <mergeCell ref="C10:E10"/>
    <mergeCell ref="F12:N12"/>
    <mergeCell ref="F13:K13"/>
  </mergeCells>
  <pageMargins left="0.511811024" right="0.511811024" top="0.78740157499999996" bottom="0.78740157499999996" header="0" footer="0"/>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6"/>
  <sheetViews>
    <sheetView view="pageBreakPreview" topLeftCell="C1" zoomScaleNormal="100" zoomScaleSheetLayoutView="100" workbookViewId="0">
      <selection activeCell="P14" sqref="P14"/>
    </sheetView>
  </sheetViews>
  <sheetFormatPr defaultColWidth="12.625" defaultRowHeight="15" customHeight="1"/>
  <cols>
    <col min="1" max="1" width="8.75" style="128" customWidth="1"/>
    <col min="2" max="2" width="10.75" style="128" customWidth="1"/>
    <col min="3" max="3" width="12" style="128" customWidth="1"/>
    <col min="4" max="4" width="58.5" style="128" customWidth="1"/>
    <col min="5" max="5" width="8" style="128" customWidth="1"/>
    <col min="6" max="6" width="11.75" style="128" customWidth="1"/>
    <col min="7" max="7" width="14.25" style="128" customWidth="1"/>
    <col min="8" max="8" width="9.75" style="128" customWidth="1"/>
    <col min="9" max="9" width="14.5" style="128" customWidth="1"/>
    <col min="10" max="10" width="17.875" style="128" customWidth="1"/>
    <col min="11" max="11" width="12.875" style="128" customWidth="1"/>
    <col min="12" max="12" width="11.375" style="128" customWidth="1"/>
    <col min="13" max="13" width="13.5" style="128" customWidth="1"/>
    <col min="14" max="22" width="9" style="128" customWidth="1"/>
    <col min="23" max="16384" width="12.625" style="128"/>
  </cols>
  <sheetData>
    <row r="1" spans="1:41" s="119" customFormat="1" ht="100.5" customHeight="1">
      <c r="A1" s="494"/>
      <c r="B1" s="494"/>
      <c r="C1" s="494"/>
      <c r="D1" s="494"/>
      <c r="E1" s="494"/>
      <c r="F1" s="494"/>
      <c r="G1" s="494"/>
      <c r="H1" s="494"/>
      <c r="I1" s="494"/>
      <c r="J1" s="494"/>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41" ht="5.25" customHeight="1">
      <c r="A2" s="120"/>
      <c r="B2" s="121"/>
      <c r="C2" s="121"/>
      <c r="D2" s="122"/>
      <c r="E2" s="123"/>
      <c r="F2" s="124"/>
      <c r="G2" s="125"/>
      <c r="H2" s="125"/>
      <c r="I2" s="125"/>
      <c r="J2" s="126"/>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row>
    <row r="3" spans="1:41" ht="21" customHeight="1">
      <c r="A3" s="492" t="s">
        <v>1258</v>
      </c>
      <c r="B3" s="492"/>
      <c r="C3" s="492"/>
      <c r="D3" s="492"/>
      <c r="E3" s="492"/>
      <c r="F3" s="492"/>
      <c r="G3" s="492"/>
      <c r="H3" s="492"/>
      <c r="I3" s="492"/>
      <c r="J3" s="492"/>
      <c r="K3" s="129"/>
      <c r="L3" s="129"/>
      <c r="M3" s="129"/>
      <c r="N3" s="129"/>
      <c r="O3" s="129"/>
      <c r="P3" s="129"/>
      <c r="Q3" s="129"/>
      <c r="R3" s="129"/>
      <c r="S3" s="129"/>
      <c r="T3" s="129"/>
      <c r="U3" s="129"/>
      <c r="V3" s="129"/>
    </row>
    <row r="4" spans="1:41" ht="5.25" customHeight="1">
      <c r="A4" s="120"/>
      <c r="B4" s="121"/>
      <c r="C4" s="121"/>
      <c r="D4" s="122"/>
      <c r="E4" s="123"/>
      <c r="F4" s="124"/>
      <c r="G4" s="125"/>
      <c r="H4" s="125"/>
      <c r="I4" s="125"/>
      <c r="J4" s="126"/>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row>
    <row r="5" spans="1:41" ht="18">
      <c r="A5" s="485" t="s">
        <v>913</v>
      </c>
      <c r="B5" s="485"/>
      <c r="C5" s="486" t="s">
        <v>1392</v>
      </c>
      <c r="D5" s="486"/>
      <c r="E5" s="486"/>
      <c r="F5" s="130"/>
      <c r="G5" s="495" t="s">
        <v>40</v>
      </c>
      <c r="H5" s="495"/>
      <c r="I5" s="495"/>
      <c r="J5" s="131">
        <f>'CÁLCULO BDI (NÃO DESON)'!B14</f>
        <v>0.25</v>
      </c>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row>
    <row r="6" spans="1:41" ht="18" customHeight="1">
      <c r="A6" s="485" t="s">
        <v>914</v>
      </c>
      <c r="B6" s="485"/>
      <c r="C6" s="486" t="s">
        <v>1393</v>
      </c>
      <c r="D6" s="486"/>
      <c r="E6" s="486"/>
      <c r="F6" s="130"/>
      <c r="G6" s="487" t="s">
        <v>455</v>
      </c>
      <c r="H6" s="487"/>
      <c r="I6" s="487"/>
      <c r="J6" s="488">
        <f>BDI!B13</f>
        <v>0.16800000000000001</v>
      </c>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row>
    <row r="7" spans="1:41" ht="18">
      <c r="A7" s="120"/>
      <c r="B7" s="121"/>
      <c r="C7" s="121"/>
      <c r="D7" s="122"/>
      <c r="E7" s="123"/>
      <c r="F7" s="124"/>
      <c r="G7" s="487"/>
      <c r="H7" s="487"/>
      <c r="I7" s="487"/>
      <c r="J7" s="489"/>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row>
    <row r="8" spans="1:41" ht="5.25" customHeight="1">
      <c r="A8" s="120"/>
      <c r="B8" s="121"/>
      <c r="C8" s="121"/>
      <c r="D8" s="122"/>
      <c r="E8" s="123"/>
      <c r="F8" s="124"/>
      <c r="G8" s="125"/>
      <c r="H8" s="125"/>
      <c r="I8" s="125"/>
      <c r="J8" s="126"/>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row>
    <row r="9" spans="1:41" ht="40.5" customHeight="1">
      <c r="A9" s="490" t="s">
        <v>490</v>
      </c>
      <c r="B9" s="490"/>
      <c r="C9" s="493" t="s">
        <v>1138</v>
      </c>
      <c r="D9" s="493"/>
      <c r="E9" s="493"/>
      <c r="F9" s="132"/>
      <c r="G9" s="491" t="s">
        <v>491</v>
      </c>
      <c r="H9" s="491"/>
      <c r="I9" s="491"/>
      <c r="J9" s="491"/>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row>
    <row r="10" spans="1:41" ht="15" customHeight="1">
      <c r="A10" s="490"/>
      <c r="B10" s="490"/>
      <c r="C10" s="493"/>
      <c r="D10" s="493"/>
      <c r="E10" s="493"/>
      <c r="F10" s="132"/>
      <c r="G10" s="491"/>
      <c r="H10" s="491"/>
      <c r="I10" s="491"/>
      <c r="J10" s="491"/>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row>
    <row r="11" spans="1:41" ht="10.5" customHeight="1">
      <c r="A11" s="133"/>
      <c r="C11" s="134"/>
      <c r="D11" s="135"/>
      <c r="E11" s="129"/>
      <c r="F11" s="136"/>
      <c r="J11" s="137"/>
      <c r="K11" s="138"/>
      <c r="L11" s="138"/>
      <c r="M11" s="138"/>
      <c r="N11" s="138"/>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row>
    <row r="12" spans="1:41" ht="21" customHeight="1">
      <c r="A12" s="492" t="s">
        <v>1115</v>
      </c>
      <c r="B12" s="492"/>
      <c r="C12" s="492"/>
      <c r="D12" s="492"/>
      <c r="E12" s="492"/>
      <c r="F12" s="492"/>
      <c r="G12" s="492"/>
      <c r="H12" s="492"/>
      <c r="I12" s="492"/>
      <c r="J12" s="492"/>
      <c r="K12" s="129"/>
      <c r="L12" s="129"/>
      <c r="M12" s="129"/>
      <c r="N12" s="129"/>
      <c r="O12" s="129"/>
      <c r="P12" s="129"/>
      <c r="Q12" s="129"/>
      <c r="R12" s="129"/>
      <c r="S12" s="129"/>
      <c r="T12" s="129"/>
      <c r="U12" s="129"/>
      <c r="V12" s="129"/>
    </row>
    <row r="13" spans="1:41" s="119" customFormat="1" ht="14.25" customHeight="1"/>
    <row r="14" spans="1:41" ht="30">
      <c r="A14" s="139" t="s">
        <v>41</v>
      </c>
      <c r="B14" s="139" t="s">
        <v>924</v>
      </c>
      <c r="C14" s="139" t="s">
        <v>925</v>
      </c>
      <c r="D14" s="139" t="s">
        <v>926</v>
      </c>
      <c r="E14" s="139" t="s">
        <v>927</v>
      </c>
      <c r="F14" s="139" t="s">
        <v>928</v>
      </c>
      <c r="G14" s="139" t="s">
        <v>929</v>
      </c>
      <c r="H14" s="139" t="s">
        <v>967</v>
      </c>
      <c r="I14" s="139" t="s">
        <v>930</v>
      </c>
      <c r="J14" s="139" t="s">
        <v>910</v>
      </c>
    </row>
    <row r="15" spans="1:41" ht="5.0999999999999996" customHeight="1">
      <c r="A15" s="146"/>
      <c r="B15" s="146"/>
      <c r="C15" s="146"/>
      <c r="D15" s="146"/>
      <c r="E15" s="146"/>
      <c r="F15" s="146"/>
      <c r="G15" s="146"/>
      <c r="H15" s="146"/>
      <c r="I15" s="146"/>
      <c r="J15" s="146"/>
    </row>
    <row r="16" spans="1:41" s="237" customFormat="1" ht="15" customHeight="1">
      <c r="A16" s="241" t="s">
        <v>1113</v>
      </c>
      <c r="B16" s="242" t="s">
        <v>921</v>
      </c>
      <c r="C16" s="242"/>
      <c r="D16" s="242"/>
      <c r="E16" s="242"/>
      <c r="F16" s="242"/>
      <c r="G16" s="242"/>
      <c r="H16" s="242"/>
      <c r="I16" s="242"/>
      <c r="J16" s="243">
        <v>483034.26</v>
      </c>
    </row>
    <row r="17" spans="1:10" s="237" customFormat="1" ht="28.5">
      <c r="A17" s="416" t="s">
        <v>73</v>
      </c>
      <c r="B17" s="417" t="s">
        <v>1007</v>
      </c>
      <c r="C17" s="417" t="s">
        <v>1396</v>
      </c>
      <c r="D17" s="416" t="s">
        <v>1397</v>
      </c>
      <c r="E17" s="417" t="s">
        <v>1398</v>
      </c>
      <c r="F17" s="418">
        <v>10</v>
      </c>
      <c r="G17" s="419">
        <v>390.37</v>
      </c>
      <c r="H17" s="418">
        <v>25</v>
      </c>
      <c r="I17" s="419">
        <v>487.96</v>
      </c>
      <c r="J17" s="419">
        <v>4879.6000000000004</v>
      </c>
    </row>
    <row r="18" spans="1:10" s="237" customFormat="1" ht="14.25">
      <c r="A18" s="416" t="s">
        <v>263</v>
      </c>
      <c r="B18" s="417" t="s">
        <v>1399</v>
      </c>
      <c r="C18" s="417" t="s">
        <v>1400</v>
      </c>
      <c r="D18" s="416" t="s">
        <v>1401</v>
      </c>
      <c r="E18" s="417" t="s">
        <v>1398</v>
      </c>
      <c r="F18" s="418">
        <v>436.41</v>
      </c>
      <c r="G18" s="419">
        <v>151.08000000000001</v>
      </c>
      <c r="H18" s="418">
        <v>25</v>
      </c>
      <c r="I18" s="419">
        <v>188.85</v>
      </c>
      <c r="J18" s="419">
        <v>82416.03</v>
      </c>
    </row>
    <row r="19" spans="1:10" s="237" customFormat="1" ht="28.5">
      <c r="A19" s="416" t="s">
        <v>264</v>
      </c>
      <c r="B19" s="417" t="s">
        <v>1008</v>
      </c>
      <c r="C19" s="417" t="s">
        <v>1396</v>
      </c>
      <c r="D19" s="416" t="s">
        <v>1402</v>
      </c>
      <c r="E19" s="417" t="s">
        <v>1403</v>
      </c>
      <c r="F19" s="418">
        <v>1</v>
      </c>
      <c r="G19" s="419">
        <v>2470.33</v>
      </c>
      <c r="H19" s="418">
        <v>25</v>
      </c>
      <c r="I19" s="419">
        <v>3087.91</v>
      </c>
      <c r="J19" s="419">
        <v>3087.91</v>
      </c>
    </row>
    <row r="20" spans="1:10" s="237" customFormat="1" ht="42.75">
      <c r="A20" s="416" t="s">
        <v>265</v>
      </c>
      <c r="B20" s="417" t="s">
        <v>1404</v>
      </c>
      <c r="C20" s="417" t="s">
        <v>1400</v>
      </c>
      <c r="D20" s="416" t="s">
        <v>1405</v>
      </c>
      <c r="E20" s="417" t="s">
        <v>1403</v>
      </c>
      <c r="F20" s="418">
        <v>1</v>
      </c>
      <c r="G20" s="419">
        <v>8132.93</v>
      </c>
      <c r="H20" s="418">
        <v>25</v>
      </c>
      <c r="I20" s="419">
        <v>10166.16</v>
      </c>
      <c r="J20" s="419">
        <v>10166.16</v>
      </c>
    </row>
    <row r="21" spans="1:10" s="237" customFormat="1" ht="57">
      <c r="A21" s="416" t="s">
        <v>266</v>
      </c>
      <c r="B21" s="417" t="s">
        <v>1009</v>
      </c>
      <c r="C21" s="417" t="s">
        <v>1396</v>
      </c>
      <c r="D21" s="416" t="s">
        <v>1406</v>
      </c>
      <c r="E21" s="417" t="s">
        <v>1403</v>
      </c>
      <c r="F21" s="418">
        <v>1</v>
      </c>
      <c r="G21" s="419">
        <v>886.66</v>
      </c>
      <c r="H21" s="418">
        <v>25</v>
      </c>
      <c r="I21" s="419">
        <v>1108.33</v>
      </c>
      <c r="J21" s="419">
        <v>1108.33</v>
      </c>
    </row>
    <row r="22" spans="1:10" s="237" customFormat="1" ht="42.75">
      <c r="A22" s="416" t="s">
        <v>267</v>
      </c>
      <c r="B22" s="417" t="s">
        <v>1407</v>
      </c>
      <c r="C22" s="417" t="s">
        <v>1400</v>
      </c>
      <c r="D22" s="416" t="s">
        <v>1408</v>
      </c>
      <c r="E22" s="417" t="s">
        <v>1398</v>
      </c>
      <c r="F22" s="418">
        <v>20</v>
      </c>
      <c r="G22" s="419">
        <v>1201.45</v>
      </c>
      <c r="H22" s="418">
        <v>25</v>
      </c>
      <c r="I22" s="419">
        <v>1501.81</v>
      </c>
      <c r="J22" s="419">
        <v>30036.2</v>
      </c>
    </row>
    <row r="23" spans="1:10" s="237" customFormat="1" ht="42.75">
      <c r="A23" s="416" t="s">
        <v>268</v>
      </c>
      <c r="B23" s="417" t="s">
        <v>1409</v>
      </c>
      <c r="C23" s="417" t="s">
        <v>1400</v>
      </c>
      <c r="D23" s="416" t="s">
        <v>1410</v>
      </c>
      <c r="E23" s="417" t="s">
        <v>1398</v>
      </c>
      <c r="F23" s="418">
        <v>20</v>
      </c>
      <c r="G23" s="419">
        <v>1390.49</v>
      </c>
      <c r="H23" s="418">
        <v>25</v>
      </c>
      <c r="I23" s="419">
        <v>1738.11</v>
      </c>
      <c r="J23" s="419">
        <v>34762.199999999997</v>
      </c>
    </row>
    <row r="24" spans="1:10" s="237" customFormat="1" ht="42.75">
      <c r="A24" s="416" t="s">
        <v>269</v>
      </c>
      <c r="B24" s="417" t="s">
        <v>1411</v>
      </c>
      <c r="C24" s="417" t="s">
        <v>1400</v>
      </c>
      <c r="D24" s="416" t="s">
        <v>1412</v>
      </c>
      <c r="E24" s="417" t="s">
        <v>1398</v>
      </c>
      <c r="F24" s="418">
        <v>20</v>
      </c>
      <c r="G24" s="419">
        <v>1122.6400000000001</v>
      </c>
      <c r="H24" s="418">
        <v>25</v>
      </c>
      <c r="I24" s="419">
        <v>1403.3</v>
      </c>
      <c r="J24" s="419">
        <v>28066</v>
      </c>
    </row>
    <row r="25" spans="1:10" s="237" customFormat="1" ht="42.75">
      <c r="A25" s="416" t="s">
        <v>270</v>
      </c>
      <c r="B25" s="417" t="s">
        <v>1413</v>
      </c>
      <c r="C25" s="417" t="s">
        <v>1400</v>
      </c>
      <c r="D25" s="416" t="s">
        <v>1414</v>
      </c>
      <c r="E25" s="417" t="s">
        <v>1398</v>
      </c>
      <c r="F25" s="418">
        <v>18</v>
      </c>
      <c r="G25" s="419">
        <v>724.89</v>
      </c>
      <c r="H25" s="418">
        <v>25</v>
      </c>
      <c r="I25" s="419">
        <v>906.11</v>
      </c>
      <c r="J25" s="419">
        <v>16309.98</v>
      </c>
    </row>
    <row r="26" spans="1:10" s="237" customFormat="1" ht="57">
      <c r="A26" s="416" t="s">
        <v>271</v>
      </c>
      <c r="B26" s="417" t="s">
        <v>969</v>
      </c>
      <c r="C26" s="417" t="s">
        <v>1099</v>
      </c>
      <c r="D26" s="416" t="s">
        <v>1415</v>
      </c>
      <c r="E26" s="417" t="s">
        <v>1416</v>
      </c>
      <c r="F26" s="418">
        <v>72</v>
      </c>
      <c r="G26" s="419">
        <v>136.57</v>
      </c>
      <c r="H26" s="418">
        <v>25</v>
      </c>
      <c r="I26" s="419">
        <v>170.71</v>
      </c>
      <c r="J26" s="419">
        <v>12291.12</v>
      </c>
    </row>
    <row r="27" spans="1:10" s="237" customFormat="1" ht="42.75">
      <c r="A27" s="416" t="s">
        <v>389</v>
      </c>
      <c r="B27" s="417" t="s">
        <v>971</v>
      </c>
      <c r="C27" s="417" t="s">
        <v>1099</v>
      </c>
      <c r="D27" s="416" t="s">
        <v>1417</v>
      </c>
      <c r="E27" s="417" t="s">
        <v>1403</v>
      </c>
      <c r="F27" s="418">
        <v>1</v>
      </c>
      <c r="G27" s="419">
        <v>8034.12</v>
      </c>
      <c r="H27" s="418">
        <v>25</v>
      </c>
      <c r="I27" s="419">
        <v>10042.65</v>
      </c>
      <c r="J27" s="419">
        <v>10042.65</v>
      </c>
    </row>
    <row r="28" spans="1:10" s="237" customFormat="1" ht="42.75">
      <c r="A28" s="416" t="s">
        <v>951</v>
      </c>
      <c r="B28" s="417" t="s">
        <v>1418</v>
      </c>
      <c r="C28" s="417" t="s">
        <v>1400</v>
      </c>
      <c r="D28" s="416" t="s">
        <v>1419</v>
      </c>
      <c r="E28" s="417" t="s">
        <v>1398</v>
      </c>
      <c r="F28" s="418">
        <v>2468.0300000000002</v>
      </c>
      <c r="G28" s="419">
        <v>0.51</v>
      </c>
      <c r="H28" s="418">
        <v>25</v>
      </c>
      <c r="I28" s="419">
        <v>0.64</v>
      </c>
      <c r="J28" s="419">
        <v>1579.54</v>
      </c>
    </row>
    <row r="29" spans="1:10" s="237" customFormat="1" ht="57">
      <c r="A29" s="416" t="s">
        <v>952</v>
      </c>
      <c r="B29" s="417" t="s">
        <v>1420</v>
      </c>
      <c r="C29" s="417" t="s">
        <v>1400</v>
      </c>
      <c r="D29" s="416" t="s">
        <v>1421</v>
      </c>
      <c r="E29" s="417" t="s">
        <v>1422</v>
      </c>
      <c r="F29" s="418">
        <v>641.69000000000005</v>
      </c>
      <c r="G29" s="419">
        <v>9.9</v>
      </c>
      <c r="H29" s="418">
        <v>25</v>
      </c>
      <c r="I29" s="419">
        <v>12.38</v>
      </c>
      <c r="J29" s="419">
        <v>7944.12</v>
      </c>
    </row>
    <row r="30" spans="1:10" s="237" customFormat="1" ht="42.75">
      <c r="A30" s="416" t="s">
        <v>1070</v>
      </c>
      <c r="B30" s="417" t="s">
        <v>1423</v>
      </c>
      <c r="C30" s="417" t="s">
        <v>1400</v>
      </c>
      <c r="D30" s="416" t="s">
        <v>1424</v>
      </c>
      <c r="E30" s="417" t="s">
        <v>1425</v>
      </c>
      <c r="F30" s="418">
        <v>6416.88</v>
      </c>
      <c r="G30" s="419">
        <v>2.99</v>
      </c>
      <c r="H30" s="418">
        <v>25</v>
      </c>
      <c r="I30" s="419">
        <v>3.74</v>
      </c>
      <c r="J30" s="419">
        <v>23999.13</v>
      </c>
    </row>
    <row r="31" spans="1:10" s="237" customFormat="1" ht="28.5">
      <c r="A31" s="416" t="s">
        <v>1071</v>
      </c>
      <c r="B31" s="417" t="s">
        <v>1069</v>
      </c>
      <c r="C31" s="417" t="s">
        <v>1400</v>
      </c>
      <c r="D31" s="416" t="s">
        <v>1426</v>
      </c>
      <c r="E31" s="417" t="s">
        <v>1398</v>
      </c>
      <c r="F31" s="418">
        <v>2468.0300000000002</v>
      </c>
      <c r="G31" s="419">
        <v>2.95</v>
      </c>
      <c r="H31" s="418">
        <v>25</v>
      </c>
      <c r="I31" s="419">
        <v>3.69</v>
      </c>
      <c r="J31" s="419">
        <v>9107.0300000000007</v>
      </c>
    </row>
    <row r="32" spans="1:10" s="237" customFormat="1" ht="42.75">
      <c r="A32" s="416" t="s">
        <v>1072</v>
      </c>
      <c r="B32" s="417" t="s">
        <v>1010</v>
      </c>
      <c r="C32" s="417" t="s">
        <v>1396</v>
      </c>
      <c r="D32" s="416" t="s">
        <v>43</v>
      </c>
      <c r="E32" s="417" t="s">
        <v>1398</v>
      </c>
      <c r="F32" s="418">
        <v>970.41</v>
      </c>
      <c r="G32" s="419">
        <v>9.1300000000000008</v>
      </c>
      <c r="H32" s="418">
        <v>25</v>
      </c>
      <c r="I32" s="419">
        <v>11.41</v>
      </c>
      <c r="J32" s="419">
        <v>11072.38</v>
      </c>
    </row>
    <row r="33" spans="1:10" s="237" customFormat="1" ht="14.25">
      <c r="A33" s="416" t="s">
        <v>1073</v>
      </c>
      <c r="B33" s="417" t="s">
        <v>1335</v>
      </c>
      <c r="C33" s="417" t="s">
        <v>1396</v>
      </c>
      <c r="D33" s="416" t="s">
        <v>1336</v>
      </c>
      <c r="E33" s="417" t="s">
        <v>1403</v>
      </c>
      <c r="F33" s="418">
        <v>1</v>
      </c>
      <c r="G33" s="419">
        <v>156932.70000000001</v>
      </c>
      <c r="H33" s="418">
        <v>25</v>
      </c>
      <c r="I33" s="419">
        <v>196165.88</v>
      </c>
      <c r="J33" s="419">
        <v>196165.88</v>
      </c>
    </row>
    <row r="34" spans="1:10" s="237" customFormat="1" ht="15" customHeight="1">
      <c r="A34" s="241" t="s">
        <v>1427</v>
      </c>
      <c r="B34" s="242" t="s">
        <v>45</v>
      </c>
      <c r="C34" s="242"/>
      <c r="D34" s="242"/>
      <c r="E34" s="242"/>
      <c r="F34" s="242"/>
      <c r="G34" s="242"/>
      <c r="H34" s="242"/>
      <c r="I34" s="242"/>
      <c r="J34" s="243">
        <v>1289.7</v>
      </c>
    </row>
    <row r="35" spans="1:10" s="237" customFormat="1" ht="57">
      <c r="A35" s="416" t="s">
        <v>1268</v>
      </c>
      <c r="B35" s="417" t="s">
        <v>1428</v>
      </c>
      <c r="C35" s="417" t="s">
        <v>1400</v>
      </c>
      <c r="D35" s="416" t="s">
        <v>1429</v>
      </c>
      <c r="E35" s="417" t="s">
        <v>1398</v>
      </c>
      <c r="F35" s="418">
        <v>970.41</v>
      </c>
      <c r="G35" s="419">
        <v>0.88</v>
      </c>
      <c r="H35" s="418">
        <v>25</v>
      </c>
      <c r="I35" s="419">
        <v>1.1000000000000001</v>
      </c>
      <c r="J35" s="419">
        <v>1067.45</v>
      </c>
    </row>
    <row r="36" spans="1:10" s="237" customFormat="1" ht="71.25">
      <c r="A36" s="416" t="s">
        <v>1269</v>
      </c>
      <c r="B36" s="417" t="s">
        <v>1430</v>
      </c>
      <c r="C36" s="417" t="s">
        <v>1400</v>
      </c>
      <c r="D36" s="416" t="s">
        <v>1431</v>
      </c>
      <c r="E36" s="417" t="s">
        <v>1422</v>
      </c>
      <c r="F36" s="418">
        <v>3.45</v>
      </c>
      <c r="G36" s="419">
        <v>16.3</v>
      </c>
      <c r="H36" s="418">
        <v>25</v>
      </c>
      <c r="I36" s="419">
        <v>20.38</v>
      </c>
      <c r="J36" s="419">
        <v>70.31</v>
      </c>
    </row>
    <row r="37" spans="1:10" s="237" customFormat="1" ht="28.5">
      <c r="A37" s="416" t="s">
        <v>1270</v>
      </c>
      <c r="B37" s="417" t="s">
        <v>1432</v>
      </c>
      <c r="C37" s="417" t="s">
        <v>1400</v>
      </c>
      <c r="D37" s="416" t="s">
        <v>1433</v>
      </c>
      <c r="E37" s="417" t="s">
        <v>1398</v>
      </c>
      <c r="F37" s="418">
        <v>9.44</v>
      </c>
      <c r="G37" s="419">
        <v>8.15</v>
      </c>
      <c r="H37" s="418">
        <v>25</v>
      </c>
      <c r="I37" s="419">
        <v>10.19</v>
      </c>
      <c r="J37" s="419">
        <v>96.19</v>
      </c>
    </row>
    <row r="38" spans="1:10" s="237" customFormat="1" ht="28.5">
      <c r="A38" s="416" t="s">
        <v>1271</v>
      </c>
      <c r="B38" s="417" t="s">
        <v>1434</v>
      </c>
      <c r="C38" s="417" t="s">
        <v>1400</v>
      </c>
      <c r="D38" s="416" t="s">
        <v>1435</v>
      </c>
      <c r="E38" s="417" t="s">
        <v>1422</v>
      </c>
      <c r="F38" s="418">
        <v>1.37</v>
      </c>
      <c r="G38" s="419">
        <v>32.549999999999997</v>
      </c>
      <c r="H38" s="418">
        <v>25</v>
      </c>
      <c r="I38" s="419">
        <v>40.69</v>
      </c>
      <c r="J38" s="419">
        <v>55.75</v>
      </c>
    </row>
    <row r="39" spans="1:10" s="237" customFormat="1" ht="15" customHeight="1">
      <c r="A39" s="241" t="s">
        <v>1436</v>
      </c>
      <c r="B39" s="242" t="s">
        <v>1437</v>
      </c>
      <c r="C39" s="242"/>
      <c r="D39" s="242"/>
      <c r="E39" s="242"/>
      <c r="F39" s="242"/>
      <c r="G39" s="242"/>
      <c r="H39" s="242"/>
      <c r="I39" s="242"/>
      <c r="J39" s="243">
        <v>286582.98</v>
      </c>
    </row>
    <row r="40" spans="1:10" s="237" customFormat="1" ht="15.75">
      <c r="A40" s="241" t="s">
        <v>314</v>
      </c>
      <c r="B40" s="242" t="s">
        <v>46</v>
      </c>
      <c r="C40" s="242"/>
      <c r="D40" s="242"/>
      <c r="E40" s="242"/>
      <c r="F40" s="242"/>
      <c r="G40" s="242"/>
      <c r="H40" s="242"/>
      <c r="I40" s="242"/>
      <c r="J40" s="243">
        <v>281851.45</v>
      </c>
    </row>
    <row r="41" spans="1:10" s="237" customFormat="1" ht="42.75">
      <c r="A41" s="416" t="s">
        <v>315</v>
      </c>
      <c r="B41" s="417" t="s">
        <v>1438</v>
      </c>
      <c r="C41" s="417" t="s">
        <v>1400</v>
      </c>
      <c r="D41" s="416" t="s">
        <v>1439</v>
      </c>
      <c r="E41" s="417" t="s">
        <v>1398</v>
      </c>
      <c r="F41" s="418">
        <v>25.9</v>
      </c>
      <c r="G41" s="419">
        <v>170.52</v>
      </c>
      <c r="H41" s="418">
        <v>25</v>
      </c>
      <c r="I41" s="419">
        <v>213.15</v>
      </c>
      <c r="J41" s="419">
        <v>5520.59</v>
      </c>
    </row>
    <row r="42" spans="1:10" s="237" customFormat="1" ht="42.75">
      <c r="A42" s="416" t="s">
        <v>316</v>
      </c>
      <c r="B42" s="417" t="s">
        <v>1440</v>
      </c>
      <c r="C42" s="417" t="s">
        <v>1400</v>
      </c>
      <c r="D42" s="416" t="s">
        <v>1441</v>
      </c>
      <c r="E42" s="417" t="s">
        <v>1422</v>
      </c>
      <c r="F42" s="418">
        <v>119.69</v>
      </c>
      <c r="G42" s="419">
        <v>549.41</v>
      </c>
      <c r="H42" s="418">
        <v>25</v>
      </c>
      <c r="I42" s="419">
        <v>686.76</v>
      </c>
      <c r="J42" s="419">
        <v>82198.3</v>
      </c>
    </row>
    <row r="43" spans="1:10" s="237" customFormat="1" ht="42.75">
      <c r="A43" s="416" t="s">
        <v>318</v>
      </c>
      <c r="B43" s="417" t="s">
        <v>1442</v>
      </c>
      <c r="C43" s="417" t="s">
        <v>1400</v>
      </c>
      <c r="D43" s="416" t="s">
        <v>1443</v>
      </c>
      <c r="E43" s="417" t="s">
        <v>1422</v>
      </c>
      <c r="F43" s="418">
        <v>96.2</v>
      </c>
      <c r="G43" s="419">
        <v>158.02000000000001</v>
      </c>
      <c r="H43" s="418">
        <v>25</v>
      </c>
      <c r="I43" s="419">
        <v>197.53</v>
      </c>
      <c r="J43" s="419">
        <v>19002.39</v>
      </c>
    </row>
    <row r="44" spans="1:10" s="237" customFormat="1" ht="28.5">
      <c r="A44" s="416" t="s">
        <v>308</v>
      </c>
      <c r="B44" s="417" t="s">
        <v>1444</v>
      </c>
      <c r="C44" s="417" t="s">
        <v>1400</v>
      </c>
      <c r="D44" s="416" t="s">
        <v>1445</v>
      </c>
      <c r="E44" s="417" t="s">
        <v>1398</v>
      </c>
      <c r="F44" s="418">
        <v>9</v>
      </c>
      <c r="G44" s="419">
        <v>32.74</v>
      </c>
      <c r="H44" s="418">
        <v>25</v>
      </c>
      <c r="I44" s="419">
        <v>40.93</v>
      </c>
      <c r="J44" s="419">
        <v>368.37</v>
      </c>
    </row>
    <row r="45" spans="1:10" s="237" customFormat="1" ht="57">
      <c r="A45" s="416" t="s">
        <v>320</v>
      </c>
      <c r="B45" s="417" t="s">
        <v>1446</v>
      </c>
      <c r="C45" s="417" t="s">
        <v>1400</v>
      </c>
      <c r="D45" s="416" t="s">
        <v>1447</v>
      </c>
      <c r="E45" s="417" t="s">
        <v>1416</v>
      </c>
      <c r="F45" s="418">
        <v>7.8</v>
      </c>
      <c r="G45" s="419">
        <v>62.95</v>
      </c>
      <c r="H45" s="418">
        <v>25</v>
      </c>
      <c r="I45" s="419">
        <v>78.69</v>
      </c>
      <c r="J45" s="419">
        <v>613.78</v>
      </c>
    </row>
    <row r="46" spans="1:10" s="237" customFormat="1" ht="57">
      <c r="A46" s="416" t="s">
        <v>329</v>
      </c>
      <c r="B46" s="417" t="s">
        <v>1448</v>
      </c>
      <c r="C46" s="417" t="s">
        <v>1400</v>
      </c>
      <c r="D46" s="416" t="s">
        <v>1449</v>
      </c>
      <c r="E46" s="417" t="s">
        <v>1416</v>
      </c>
      <c r="F46" s="418">
        <v>27</v>
      </c>
      <c r="G46" s="419">
        <v>117.35</v>
      </c>
      <c r="H46" s="418">
        <v>25</v>
      </c>
      <c r="I46" s="419">
        <v>146.69</v>
      </c>
      <c r="J46" s="419">
        <v>3960.63</v>
      </c>
    </row>
    <row r="47" spans="1:10" s="237" customFormat="1" ht="28.5">
      <c r="A47" s="416" t="s">
        <v>1328</v>
      </c>
      <c r="B47" s="417" t="s">
        <v>1450</v>
      </c>
      <c r="C47" s="417" t="s">
        <v>1400</v>
      </c>
      <c r="D47" s="416" t="s">
        <v>1451</v>
      </c>
      <c r="E47" s="417" t="s">
        <v>1452</v>
      </c>
      <c r="F47" s="418">
        <v>8800.52</v>
      </c>
      <c r="G47" s="419">
        <v>14</v>
      </c>
      <c r="H47" s="418">
        <v>25</v>
      </c>
      <c r="I47" s="419">
        <v>17.5</v>
      </c>
      <c r="J47" s="419">
        <v>154009.1</v>
      </c>
    </row>
    <row r="48" spans="1:10" s="237" customFormat="1" ht="42.75">
      <c r="A48" s="416" t="s">
        <v>1329</v>
      </c>
      <c r="B48" s="417" t="s">
        <v>1453</v>
      </c>
      <c r="C48" s="417" t="s">
        <v>1400</v>
      </c>
      <c r="D48" s="416" t="s">
        <v>1454</v>
      </c>
      <c r="E48" s="417" t="s">
        <v>1452</v>
      </c>
      <c r="F48" s="418">
        <v>31.01</v>
      </c>
      <c r="G48" s="419">
        <v>15.76</v>
      </c>
      <c r="H48" s="418">
        <v>25</v>
      </c>
      <c r="I48" s="419">
        <v>19.7</v>
      </c>
      <c r="J48" s="419">
        <v>610.9</v>
      </c>
    </row>
    <row r="49" spans="1:10" s="237" customFormat="1" ht="42.75">
      <c r="A49" s="416" t="s">
        <v>1330</v>
      </c>
      <c r="B49" s="417" t="s">
        <v>1455</v>
      </c>
      <c r="C49" s="417" t="s">
        <v>1400</v>
      </c>
      <c r="D49" s="416" t="s">
        <v>1456</v>
      </c>
      <c r="E49" s="417" t="s">
        <v>1452</v>
      </c>
      <c r="F49" s="418">
        <v>7.75</v>
      </c>
      <c r="G49" s="419">
        <v>14.62</v>
      </c>
      <c r="H49" s="418">
        <v>25</v>
      </c>
      <c r="I49" s="419">
        <v>18.28</v>
      </c>
      <c r="J49" s="419">
        <v>141.66999999999999</v>
      </c>
    </row>
    <row r="50" spans="1:10" s="237" customFormat="1" ht="42.75">
      <c r="A50" s="416" t="s">
        <v>330</v>
      </c>
      <c r="B50" s="417" t="s">
        <v>1457</v>
      </c>
      <c r="C50" s="417" t="s">
        <v>1400</v>
      </c>
      <c r="D50" s="416" t="s">
        <v>1458</v>
      </c>
      <c r="E50" s="417" t="s">
        <v>1452</v>
      </c>
      <c r="F50" s="418">
        <v>113.95</v>
      </c>
      <c r="G50" s="419">
        <v>12.03</v>
      </c>
      <c r="H50" s="418">
        <v>25</v>
      </c>
      <c r="I50" s="419">
        <v>15.04</v>
      </c>
      <c r="J50" s="419">
        <v>1713.81</v>
      </c>
    </row>
    <row r="51" spans="1:10" s="237" customFormat="1" ht="42.75">
      <c r="A51" s="416" t="s">
        <v>331</v>
      </c>
      <c r="B51" s="417" t="s">
        <v>1459</v>
      </c>
      <c r="C51" s="417" t="s">
        <v>1400</v>
      </c>
      <c r="D51" s="416" t="s">
        <v>1460</v>
      </c>
      <c r="E51" s="417" t="s">
        <v>1452</v>
      </c>
      <c r="F51" s="418">
        <v>295.20999999999998</v>
      </c>
      <c r="G51" s="419">
        <v>10.07</v>
      </c>
      <c r="H51" s="418">
        <v>25</v>
      </c>
      <c r="I51" s="419">
        <v>12.59</v>
      </c>
      <c r="J51" s="419">
        <v>3716.69</v>
      </c>
    </row>
    <row r="52" spans="1:10" s="237" customFormat="1" ht="28.5">
      <c r="A52" s="416" t="s">
        <v>332</v>
      </c>
      <c r="B52" s="417" t="s">
        <v>1011</v>
      </c>
      <c r="C52" s="417" t="s">
        <v>1396</v>
      </c>
      <c r="D52" s="416" t="s">
        <v>1461</v>
      </c>
      <c r="E52" s="417" t="s">
        <v>1462</v>
      </c>
      <c r="F52" s="418">
        <v>970.41</v>
      </c>
      <c r="G52" s="419">
        <v>8.24</v>
      </c>
      <c r="H52" s="418">
        <v>25</v>
      </c>
      <c r="I52" s="419">
        <v>10.3</v>
      </c>
      <c r="J52" s="419">
        <v>9995.2199999999993</v>
      </c>
    </row>
    <row r="53" spans="1:10" s="237" customFormat="1" ht="15" customHeight="1">
      <c r="A53" s="241" t="s">
        <v>335</v>
      </c>
      <c r="B53" s="242" t="s">
        <v>333</v>
      </c>
      <c r="C53" s="242"/>
      <c r="D53" s="242"/>
      <c r="E53" s="242"/>
      <c r="F53" s="242"/>
      <c r="G53" s="242"/>
      <c r="H53" s="242"/>
      <c r="I53" s="242"/>
      <c r="J53" s="243">
        <v>4731.53</v>
      </c>
    </row>
    <row r="54" spans="1:10" s="237" customFormat="1" ht="42.75">
      <c r="A54" s="416" t="s">
        <v>336</v>
      </c>
      <c r="B54" s="417" t="s">
        <v>1463</v>
      </c>
      <c r="C54" s="417" t="s">
        <v>1400</v>
      </c>
      <c r="D54" s="416" t="s">
        <v>1464</v>
      </c>
      <c r="E54" s="417" t="s">
        <v>1422</v>
      </c>
      <c r="F54" s="418">
        <v>1.79</v>
      </c>
      <c r="G54" s="419">
        <v>605.94000000000005</v>
      </c>
      <c r="H54" s="418">
        <v>25</v>
      </c>
      <c r="I54" s="419">
        <v>757.43</v>
      </c>
      <c r="J54" s="419">
        <v>1355.8</v>
      </c>
    </row>
    <row r="55" spans="1:10" s="237" customFormat="1" ht="42.75">
      <c r="A55" s="416" t="s">
        <v>337</v>
      </c>
      <c r="B55" s="417" t="s">
        <v>1465</v>
      </c>
      <c r="C55" s="417" t="s">
        <v>1400</v>
      </c>
      <c r="D55" s="416" t="s">
        <v>1466</v>
      </c>
      <c r="E55" s="417" t="s">
        <v>1398</v>
      </c>
      <c r="F55" s="418">
        <v>10.24</v>
      </c>
      <c r="G55" s="419">
        <v>201.77</v>
      </c>
      <c r="H55" s="418">
        <v>25</v>
      </c>
      <c r="I55" s="419">
        <v>252.21</v>
      </c>
      <c r="J55" s="419">
        <v>2582.63</v>
      </c>
    </row>
    <row r="56" spans="1:10" s="237" customFormat="1" ht="28.5">
      <c r="A56" s="416" t="s">
        <v>338</v>
      </c>
      <c r="B56" s="417" t="s">
        <v>1467</v>
      </c>
      <c r="C56" s="417" t="s">
        <v>1400</v>
      </c>
      <c r="D56" s="416" t="s">
        <v>1468</v>
      </c>
      <c r="E56" s="417" t="s">
        <v>1452</v>
      </c>
      <c r="F56" s="418">
        <v>29.22</v>
      </c>
      <c r="G56" s="419">
        <v>14.93</v>
      </c>
      <c r="H56" s="418">
        <v>25</v>
      </c>
      <c r="I56" s="419">
        <v>18.66</v>
      </c>
      <c r="J56" s="419">
        <v>545.25</v>
      </c>
    </row>
    <row r="57" spans="1:10" s="237" customFormat="1" ht="42.75">
      <c r="A57" s="416" t="s">
        <v>920</v>
      </c>
      <c r="B57" s="417" t="s">
        <v>1469</v>
      </c>
      <c r="C57" s="417" t="s">
        <v>1400</v>
      </c>
      <c r="D57" s="416" t="s">
        <v>1470</v>
      </c>
      <c r="E57" s="417" t="s">
        <v>1398</v>
      </c>
      <c r="F57" s="418">
        <v>5.76</v>
      </c>
      <c r="G57" s="419">
        <v>34.42</v>
      </c>
      <c r="H57" s="418">
        <v>25</v>
      </c>
      <c r="I57" s="419">
        <v>43.03</v>
      </c>
      <c r="J57" s="419">
        <v>247.85</v>
      </c>
    </row>
    <row r="58" spans="1:10" s="237" customFormat="1" ht="15" customHeight="1">
      <c r="A58" s="241" t="s">
        <v>1471</v>
      </c>
      <c r="B58" s="242" t="s">
        <v>922</v>
      </c>
      <c r="C58" s="242"/>
      <c r="D58" s="242"/>
      <c r="E58" s="242"/>
      <c r="F58" s="242"/>
      <c r="G58" s="242"/>
      <c r="H58" s="242"/>
      <c r="I58" s="242"/>
      <c r="J58" s="243">
        <v>3160.36</v>
      </c>
    </row>
    <row r="59" spans="1:10" s="237" customFormat="1" ht="42.75">
      <c r="A59" s="416" t="s">
        <v>340</v>
      </c>
      <c r="B59" s="417" t="s">
        <v>1472</v>
      </c>
      <c r="C59" s="417" t="s">
        <v>1400</v>
      </c>
      <c r="D59" s="416" t="s">
        <v>1473</v>
      </c>
      <c r="E59" s="417" t="s">
        <v>1398</v>
      </c>
      <c r="F59" s="418">
        <v>970.41</v>
      </c>
      <c r="G59" s="419">
        <v>2.13</v>
      </c>
      <c r="H59" s="418">
        <v>25</v>
      </c>
      <c r="I59" s="419">
        <v>2.66</v>
      </c>
      <c r="J59" s="419">
        <v>2581.29</v>
      </c>
    </row>
    <row r="60" spans="1:10" s="237" customFormat="1" ht="28.5">
      <c r="A60" s="416" t="s">
        <v>341</v>
      </c>
      <c r="B60" s="417" t="s">
        <v>1474</v>
      </c>
      <c r="C60" s="417" t="s">
        <v>1400</v>
      </c>
      <c r="D60" s="416" t="s">
        <v>1475</v>
      </c>
      <c r="E60" s="417" t="s">
        <v>1398</v>
      </c>
      <c r="F60" s="418">
        <v>10.24</v>
      </c>
      <c r="G60" s="419">
        <v>45.24</v>
      </c>
      <c r="H60" s="418">
        <v>25</v>
      </c>
      <c r="I60" s="419">
        <v>56.55</v>
      </c>
      <c r="J60" s="419">
        <v>579.07000000000005</v>
      </c>
    </row>
    <row r="61" spans="1:10" s="237" customFormat="1" ht="15" customHeight="1">
      <c r="A61" s="241" t="s">
        <v>1476</v>
      </c>
      <c r="B61" s="242" t="s">
        <v>351</v>
      </c>
      <c r="C61" s="242"/>
      <c r="D61" s="242"/>
      <c r="E61" s="242"/>
      <c r="F61" s="242"/>
      <c r="G61" s="242"/>
      <c r="H61" s="242"/>
      <c r="I61" s="242"/>
      <c r="J61" s="243">
        <v>1130783.1100000001</v>
      </c>
    </row>
    <row r="62" spans="1:10" s="237" customFormat="1" ht="57">
      <c r="A62" s="416" t="s">
        <v>343</v>
      </c>
      <c r="B62" s="417" t="s">
        <v>227</v>
      </c>
      <c r="C62" s="417" t="s">
        <v>1396</v>
      </c>
      <c r="D62" s="416" t="s">
        <v>1477</v>
      </c>
      <c r="E62" s="417" t="s">
        <v>1462</v>
      </c>
      <c r="F62" s="418">
        <v>1276.9000000000001</v>
      </c>
      <c r="G62" s="419">
        <v>528.76</v>
      </c>
      <c r="H62" s="418">
        <v>16.8</v>
      </c>
      <c r="I62" s="419">
        <v>617.59</v>
      </c>
      <c r="J62" s="419">
        <v>788600.67</v>
      </c>
    </row>
    <row r="63" spans="1:10" s="237" customFormat="1" ht="28.5">
      <c r="A63" s="416" t="s">
        <v>114</v>
      </c>
      <c r="B63" s="417" t="s">
        <v>119</v>
      </c>
      <c r="C63" s="417" t="s">
        <v>1396</v>
      </c>
      <c r="D63" s="416" t="s">
        <v>1478</v>
      </c>
      <c r="E63" s="417" t="s">
        <v>1462</v>
      </c>
      <c r="F63" s="418">
        <v>1276.9000000000001</v>
      </c>
      <c r="G63" s="419">
        <v>128.59</v>
      </c>
      <c r="H63" s="418">
        <v>25</v>
      </c>
      <c r="I63" s="419">
        <v>160.74</v>
      </c>
      <c r="J63" s="419">
        <v>205248.91</v>
      </c>
    </row>
    <row r="64" spans="1:10" s="237" customFormat="1" ht="42.75">
      <c r="A64" s="416" t="s">
        <v>344</v>
      </c>
      <c r="B64" s="417" t="s">
        <v>1479</v>
      </c>
      <c r="C64" s="417" t="s">
        <v>1400</v>
      </c>
      <c r="D64" s="416" t="s">
        <v>1480</v>
      </c>
      <c r="E64" s="417" t="s">
        <v>1422</v>
      </c>
      <c r="F64" s="418">
        <v>102.15</v>
      </c>
      <c r="G64" s="419">
        <v>464.49</v>
      </c>
      <c r="H64" s="418">
        <v>25</v>
      </c>
      <c r="I64" s="419">
        <v>580.61</v>
      </c>
      <c r="J64" s="419">
        <v>59309.31</v>
      </c>
    </row>
    <row r="65" spans="1:10" s="237" customFormat="1" ht="28.5">
      <c r="A65" s="416" t="s">
        <v>345</v>
      </c>
      <c r="B65" s="417" t="s">
        <v>1481</v>
      </c>
      <c r="C65" s="417" t="s">
        <v>1400</v>
      </c>
      <c r="D65" s="416" t="s">
        <v>917</v>
      </c>
      <c r="E65" s="417" t="s">
        <v>1452</v>
      </c>
      <c r="F65" s="418">
        <v>304.93</v>
      </c>
      <c r="G65" s="419">
        <v>17</v>
      </c>
      <c r="H65" s="418">
        <v>25</v>
      </c>
      <c r="I65" s="419">
        <v>21.25</v>
      </c>
      <c r="J65" s="419">
        <v>6479.76</v>
      </c>
    </row>
    <row r="66" spans="1:10" s="237" customFormat="1" ht="42.75">
      <c r="A66" s="416" t="s">
        <v>346</v>
      </c>
      <c r="B66" s="417" t="s">
        <v>1482</v>
      </c>
      <c r="C66" s="417" t="s">
        <v>1400</v>
      </c>
      <c r="D66" s="416" t="s">
        <v>1483</v>
      </c>
      <c r="E66" s="417" t="s">
        <v>1422</v>
      </c>
      <c r="F66" s="418">
        <v>0.51</v>
      </c>
      <c r="G66" s="419">
        <v>478.6</v>
      </c>
      <c r="H66" s="418">
        <v>25</v>
      </c>
      <c r="I66" s="419">
        <v>598.25</v>
      </c>
      <c r="J66" s="419">
        <v>305.11</v>
      </c>
    </row>
    <row r="67" spans="1:10" s="237" customFormat="1" ht="28.5">
      <c r="A67" s="416" t="s">
        <v>347</v>
      </c>
      <c r="B67" s="417" t="s">
        <v>1484</v>
      </c>
      <c r="C67" s="417" t="s">
        <v>1400</v>
      </c>
      <c r="D67" s="416" t="s">
        <v>1485</v>
      </c>
      <c r="E67" s="417" t="s">
        <v>1422</v>
      </c>
      <c r="F67" s="418">
        <v>102.66</v>
      </c>
      <c r="G67" s="419">
        <v>379.73</v>
      </c>
      <c r="H67" s="418">
        <v>25</v>
      </c>
      <c r="I67" s="419">
        <v>474.66</v>
      </c>
      <c r="J67" s="419">
        <v>48728.6</v>
      </c>
    </row>
    <row r="68" spans="1:10" s="237" customFormat="1" ht="42.75">
      <c r="A68" s="416" t="s">
        <v>348</v>
      </c>
      <c r="B68" s="417" t="s">
        <v>1486</v>
      </c>
      <c r="C68" s="417" t="s">
        <v>1400</v>
      </c>
      <c r="D68" s="416" t="s">
        <v>1487</v>
      </c>
      <c r="E68" s="417" t="s">
        <v>1452</v>
      </c>
      <c r="F68" s="418">
        <v>1340.75</v>
      </c>
      <c r="G68" s="419">
        <v>12.1</v>
      </c>
      <c r="H68" s="418">
        <v>25</v>
      </c>
      <c r="I68" s="419">
        <v>15.13</v>
      </c>
      <c r="J68" s="419">
        <v>20285.55</v>
      </c>
    </row>
    <row r="69" spans="1:10" s="237" customFormat="1" ht="28.5">
      <c r="A69" s="416" t="s">
        <v>349</v>
      </c>
      <c r="B69" s="417" t="s">
        <v>1488</v>
      </c>
      <c r="C69" s="417" t="s">
        <v>1400</v>
      </c>
      <c r="D69" s="416" t="s">
        <v>1489</v>
      </c>
      <c r="E69" s="417" t="s">
        <v>1398</v>
      </c>
      <c r="F69" s="418">
        <v>6.2</v>
      </c>
      <c r="G69" s="419">
        <v>57.78</v>
      </c>
      <c r="H69" s="418">
        <v>25</v>
      </c>
      <c r="I69" s="419">
        <v>72.23</v>
      </c>
      <c r="J69" s="419">
        <v>447.83</v>
      </c>
    </row>
    <row r="70" spans="1:10" s="237" customFormat="1" ht="42.75">
      <c r="A70" s="416" t="s">
        <v>352</v>
      </c>
      <c r="B70" s="417" t="s">
        <v>1490</v>
      </c>
      <c r="C70" s="417" t="s">
        <v>1400</v>
      </c>
      <c r="D70" s="416" t="s">
        <v>1491</v>
      </c>
      <c r="E70" s="417" t="s">
        <v>1398</v>
      </c>
      <c r="F70" s="418">
        <v>5.15</v>
      </c>
      <c r="G70" s="419">
        <v>123.94</v>
      </c>
      <c r="H70" s="418">
        <v>25</v>
      </c>
      <c r="I70" s="419">
        <v>154.93</v>
      </c>
      <c r="J70" s="419">
        <v>797.89</v>
      </c>
    </row>
    <row r="71" spans="1:10" s="237" customFormat="1" ht="28.5">
      <c r="A71" s="416" t="s">
        <v>353</v>
      </c>
      <c r="B71" s="417" t="s">
        <v>1492</v>
      </c>
      <c r="C71" s="417" t="s">
        <v>1400</v>
      </c>
      <c r="D71" s="416" t="s">
        <v>1493</v>
      </c>
      <c r="E71" s="417" t="s">
        <v>1398</v>
      </c>
      <c r="F71" s="418">
        <v>5.15</v>
      </c>
      <c r="G71" s="419">
        <v>48.16</v>
      </c>
      <c r="H71" s="418">
        <v>25</v>
      </c>
      <c r="I71" s="419">
        <v>60.2</v>
      </c>
      <c r="J71" s="419">
        <v>310.02999999999997</v>
      </c>
    </row>
    <row r="72" spans="1:10" s="237" customFormat="1" ht="42.75">
      <c r="A72" s="416" t="s">
        <v>915</v>
      </c>
      <c r="B72" s="417" t="s">
        <v>1494</v>
      </c>
      <c r="C72" s="417" t="s">
        <v>1400</v>
      </c>
      <c r="D72" s="416" t="s">
        <v>1495</v>
      </c>
      <c r="E72" s="417" t="s">
        <v>1422</v>
      </c>
      <c r="F72" s="418">
        <v>10.55</v>
      </c>
      <c r="G72" s="419">
        <v>20.43</v>
      </c>
      <c r="H72" s="418">
        <v>25</v>
      </c>
      <c r="I72" s="419">
        <v>25.54</v>
      </c>
      <c r="J72" s="419">
        <v>269.45</v>
      </c>
    </row>
    <row r="73" spans="1:10" s="237" customFormat="1" ht="15" customHeight="1">
      <c r="A73" s="241" t="s">
        <v>1496</v>
      </c>
      <c r="B73" s="242" t="s">
        <v>47</v>
      </c>
      <c r="C73" s="242"/>
      <c r="D73" s="242"/>
      <c r="E73" s="242"/>
      <c r="F73" s="242"/>
      <c r="G73" s="242"/>
      <c r="H73" s="242"/>
      <c r="I73" s="242"/>
      <c r="J73" s="243">
        <v>51024.69</v>
      </c>
    </row>
    <row r="74" spans="1:10" s="237" customFormat="1" ht="57">
      <c r="A74" s="416" t="s">
        <v>394</v>
      </c>
      <c r="B74" s="417" t="s">
        <v>1497</v>
      </c>
      <c r="C74" s="417" t="s">
        <v>1400</v>
      </c>
      <c r="D74" s="416" t="s">
        <v>1498</v>
      </c>
      <c r="E74" s="417" t="s">
        <v>1398</v>
      </c>
      <c r="F74" s="418">
        <v>11.7</v>
      </c>
      <c r="G74" s="419">
        <v>61.06</v>
      </c>
      <c r="H74" s="418">
        <v>25</v>
      </c>
      <c r="I74" s="419">
        <v>76.33</v>
      </c>
      <c r="J74" s="419">
        <v>893.06</v>
      </c>
    </row>
    <row r="75" spans="1:10" s="237" customFormat="1" ht="42.75">
      <c r="A75" s="416" t="s">
        <v>395</v>
      </c>
      <c r="B75" s="417" t="s">
        <v>1499</v>
      </c>
      <c r="C75" s="417" t="s">
        <v>1400</v>
      </c>
      <c r="D75" s="416" t="s">
        <v>1500</v>
      </c>
      <c r="E75" s="417" t="s">
        <v>1398</v>
      </c>
      <c r="F75" s="418">
        <v>16.850000000000001</v>
      </c>
      <c r="G75" s="419">
        <v>921.61</v>
      </c>
      <c r="H75" s="418">
        <v>25</v>
      </c>
      <c r="I75" s="419">
        <v>1152.01</v>
      </c>
      <c r="J75" s="419">
        <v>19411.37</v>
      </c>
    </row>
    <row r="76" spans="1:10" s="237" customFormat="1" ht="42.75">
      <c r="A76" s="416" t="s">
        <v>467</v>
      </c>
      <c r="B76" s="417" t="s">
        <v>1501</v>
      </c>
      <c r="C76" s="417" t="s">
        <v>1400</v>
      </c>
      <c r="D76" s="416" t="s">
        <v>1502</v>
      </c>
      <c r="E76" s="417" t="s">
        <v>1398</v>
      </c>
      <c r="F76" s="418">
        <v>108.09</v>
      </c>
      <c r="G76" s="419">
        <v>227.37</v>
      </c>
      <c r="H76" s="418">
        <v>25</v>
      </c>
      <c r="I76" s="419">
        <v>284.20999999999998</v>
      </c>
      <c r="J76" s="419">
        <v>30720.26</v>
      </c>
    </row>
    <row r="77" spans="1:10" s="237" customFormat="1" ht="15" customHeight="1">
      <c r="A77" s="241" t="s">
        <v>1503</v>
      </c>
      <c r="B77" s="242" t="s">
        <v>48</v>
      </c>
      <c r="C77" s="242"/>
      <c r="D77" s="242"/>
      <c r="E77" s="242"/>
      <c r="F77" s="242"/>
      <c r="G77" s="242"/>
      <c r="H77" s="242"/>
      <c r="I77" s="242"/>
      <c r="J77" s="243">
        <v>7343.22</v>
      </c>
    </row>
    <row r="78" spans="1:10" s="237" customFormat="1" ht="57">
      <c r="A78" s="416" t="s">
        <v>396</v>
      </c>
      <c r="B78" s="417" t="s">
        <v>1504</v>
      </c>
      <c r="C78" s="417" t="s">
        <v>1400</v>
      </c>
      <c r="D78" s="416" t="s">
        <v>1505</v>
      </c>
      <c r="E78" s="417" t="s">
        <v>1398</v>
      </c>
      <c r="F78" s="418">
        <v>2.0699999999999998</v>
      </c>
      <c r="G78" s="419">
        <v>4.95</v>
      </c>
      <c r="H78" s="418">
        <v>25</v>
      </c>
      <c r="I78" s="419">
        <v>6.19</v>
      </c>
      <c r="J78" s="419">
        <v>12.81</v>
      </c>
    </row>
    <row r="79" spans="1:10" s="237" customFormat="1" ht="57">
      <c r="A79" s="416" t="s">
        <v>397</v>
      </c>
      <c r="B79" s="417" t="s">
        <v>1506</v>
      </c>
      <c r="C79" s="417" t="s">
        <v>1400</v>
      </c>
      <c r="D79" s="416" t="s">
        <v>1507</v>
      </c>
      <c r="E79" s="417" t="s">
        <v>1398</v>
      </c>
      <c r="F79" s="418">
        <v>2.0699999999999998</v>
      </c>
      <c r="G79" s="419">
        <v>49.95</v>
      </c>
      <c r="H79" s="418">
        <v>25</v>
      </c>
      <c r="I79" s="419">
        <v>62.44</v>
      </c>
      <c r="J79" s="419">
        <v>129.25</v>
      </c>
    </row>
    <row r="80" spans="1:10" s="237" customFormat="1" ht="28.5">
      <c r="A80" s="416" t="s">
        <v>901</v>
      </c>
      <c r="B80" s="417" t="s">
        <v>1508</v>
      </c>
      <c r="C80" s="417" t="s">
        <v>1400</v>
      </c>
      <c r="D80" s="416" t="s">
        <v>1509</v>
      </c>
      <c r="E80" s="417" t="s">
        <v>1416</v>
      </c>
      <c r="F80" s="418">
        <v>132.19999999999999</v>
      </c>
      <c r="G80" s="419">
        <v>42.24</v>
      </c>
      <c r="H80" s="418">
        <v>25</v>
      </c>
      <c r="I80" s="419">
        <v>52.8</v>
      </c>
      <c r="J80" s="419">
        <v>6980.16</v>
      </c>
    </row>
    <row r="81" spans="1:10" s="237" customFormat="1" ht="28.5">
      <c r="A81" s="416" t="s">
        <v>450</v>
      </c>
      <c r="B81" s="417" t="s">
        <v>1510</v>
      </c>
      <c r="C81" s="417" t="s">
        <v>1511</v>
      </c>
      <c r="D81" s="416" t="s">
        <v>1512</v>
      </c>
      <c r="E81" s="417" t="s">
        <v>1398</v>
      </c>
      <c r="F81" s="418">
        <v>1.28</v>
      </c>
      <c r="G81" s="419">
        <v>5.4</v>
      </c>
      <c r="H81" s="418">
        <v>25</v>
      </c>
      <c r="I81" s="419">
        <v>6.75</v>
      </c>
      <c r="J81" s="419">
        <v>8.64</v>
      </c>
    </row>
    <row r="82" spans="1:10" s="237" customFormat="1" ht="28.5">
      <c r="A82" s="416" t="s">
        <v>485</v>
      </c>
      <c r="B82" s="417" t="s">
        <v>1513</v>
      </c>
      <c r="C82" s="417" t="s">
        <v>1400</v>
      </c>
      <c r="D82" s="416" t="s">
        <v>1514</v>
      </c>
      <c r="E82" s="417" t="s">
        <v>1398</v>
      </c>
      <c r="F82" s="418">
        <v>1.28</v>
      </c>
      <c r="G82" s="419">
        <v>35.94</v>
      </c>
      <c r="H82" s="418">
        <v>25</v>
      </c>
      <c r="I82" s="419">
        <v>44.93</v>
      </c>
      <c r="J82" s="419">
        <v>57.51</v>
      </c>
    </row>
    <row r="83" spans="1:10" s="237" customFormat="1" ht="42.75">
      <c r="A83" s="416" t="s">
        <v>486</v>
      </c>
      <c r="B83" s="417" t="s">
        <v>1515</v>
      </c>
      <c r="C83" s="417" t="s">
        <v>1400</v>
      </c>
      <c r="D83" s="416" t="s">
        <v>1516</v>
      </c>
      <c r="E83" s="417" t="s">
        <v>1398</v>
      </c>
      <c r="F83" s="418">
        <v>1.28</v>
      </c>
      <c r="G83" s="419">
        <v>96.78</v>
      </c>
      <c r="H83" s="418">
        <v>25</v>
      </c>
      <c r="I83" s="419">
        <v>120.98</v>
      </c>
      <c r="J83" s="419">
        <v>154.85</v>
      </c>
    </row>
    <row r="84" spans="1:10" s="237" customFormat="1" ht="15" customHeight="1">
      <c r="A84" s="241" t="s">
        <v>1517</v>
      </c>
      <c r="B84" s="242" t="s">
        <v>1518</v>
      </c>
      <c r="C84" s="242"/>
      <c r="D84" s="242"/>
      <c r="E84" s="242"/>
      <c r="F84" s="242"/>
      <c r="G84" s="242"/>
      <c r="H84" s="242"/>
      <c r="I84" s="242"/>
      <c r="J84" s="243">
        <v>1884184.44</v>
      </c>
    </row>
    <row r="85" spans="1:10" s="237" customFormat="1" ht="57">
      <c r="A85" s="416" t="s">
        <v>128</v>
      </c>
      <c r="B85" s="417" t="s">
        <v>2513</v>
      </c>
      <c r="C85" s="417" t="s">
        <v>1400</v>
      </c>
      <c r="D85" s="416" t="s">
        <v>2514</v>
      </c>
      <c r="E85" s="417" t="s">
        <v>1452</v>
      </c>
      <c r="F85" s="418">
        <v>15931.53</v>
      </c>
      <c r="G85" s="419">
        <v>44.88</v>
      </c>
      <c r="H85" s="418">
        <v>25</v>
      </c>
      <c r="I85" s="419">
        <v>56.1</v>
      </c>
      <c r="J85" s="419">
        <v>893758.83</v>
      </c>
    </row>
    <row r="86" spans="1:10" s="237" customFormat="1" ht="28.5">
      <c r="A86" s="416" t="s">
        <v>427</v>
      </c>
      <c r="B86" s="417" t="s">
        <v>1519</v>
      </c>
      <c r="C86" s="417" t="s">
        <v>1400</v>
      </c>
      <c r="D86" s="416" t="s">
        <v>1520</v>
      </c>
      <c r="E86" s="417" t="s">
        <v>1398</v>
      </c>
      <c r="F86" s="418">
        <v>1072.18</v>
      </c>
      <c r="G86" s="419">
        <v>202.87</v>
      </c>
      <c r="H86" s="418">
        <v>25</v>
      </c>
      <c r="I86" s="419">
        <v>253.59</v>
      </c>
      <c r="J86" s="419">
        <v>271894.13</v>
      </c>
    </row>
    <row r="87" spans="1:10" s="237" customFormat="1" ht="114">
      <c r="A87" s="416" t="s">
        <v>428</v>
      </c>
      <c r="B87" s="417" t="s">
        <v>1521</v>
      </c>
      <c r="C87" s="417" t="s">
        <v>1099</v>
      </c>
      <c r="D87" s="416" t="s">
        <v>1129</v>
      </c>
      <c r="E87" s="417" t="s">
        <v>1398</v>
      </c>
      <c r="F87" s="418">
        <v>83.37</v>
      </c>
      <c r="G87" s="419">
        <v>1050</v>
      </c>
      <c r="H87" s="418">
        <v>25</v>
      </c>
      <c r="I87" s="419">
        <v>1312.5</v>
      </c>
      <c r="J87" s="419">
        <v>109423.13</v>
      </c>
    </row>
    <row r="88" spans="1:10" s="237" customFormat="1" ht="42.75">
      <c r="A88" s="416" t="s">
        <v>429</v>
      </c>
      <c r="B88" s="417" t="s">
        <v>1348</v>
      </c>
      <c r="C88" s="417" t="s">
        <v>1099</v>
      </c>
      <c r="D88" s="416" t="s">
        <v>1131</v>
      </c>
      <c r="E88" s="417" t="s">
        <v>1398</v>
      </c>
      <c r="F88" s="418">
        <v>14.46</v>
      </c>
      <c r="G88" s="419">
        <v>446.23</v>
      </c>
      <c r="H88" s="418">
        <v>25</v>
      </c>
      <c r="I88" s="419">
        <v>557.79</v>
      </c>
      <c r="J88" s="419">
        <v>8065.64</v>
      </c>
    </row>
    <row r="89" spans="1:10" s="237" customFormat="1" ht="28.5">
      <c r="A89" s="416" t="s">
        <v>430</v>
      </c>
      <c r="B89" s="417" t="s">
        <v>1349</v>
      </c>
      <c r="C89" s="417" t="s">
        <v>1099</v>
      </c>
      <c r="D89" s="416" t="s">
        <v>1522</v>
      </c>
      <c r="E89" s="417" t="s">
        <v>1398</v>
      </c>
      <c r="F89" s="418">
        <v>14.46</v>
      </c>
      <c r="G89" s="419">
        <v>647.39</v>
      </c>
      <c r="H89" s="418">
        <v>25</v>
      </c>
      <c r="I89" s="419">
        <v>809.24</v>
      </c>
      <c r="J89" s="419">
        <v>11701.61</v>
      </c>
    </row>
    <row r="90" spans="1:10" s="237" customFormat="1" ht="28.5">
      <c r="A90" s="416" t="s">
        <v>431</v>
      </c>
      <c r="B90" s="417" t="s">
        <v>1523</v>
      </c>
      <c r="C90" s="417" t="s">
        <v>1400</v>
      </c>
      <c r="D90" s="416" t="s">
        <v>1524</v>
      </c>
      <c r="E90" s="417" t="s">
        <v>1416</v>
      </c>
      <c r="F90" s="418">
        <v>258.39999999999998</v>
      </c>
      <c r="G90" s="419">
        <v>53.59</v>
      </c>
      <c r="H90" s="418">
        <v>25</v>
      </c>
      <c r="I90" s="419">
        <v>66.989999999999995</v>
      </c>
      <c r="J90" s="419">
        <v>17310.22</v>
      </c>
    </row>
    <row r="91" spans="1:10" s="237" customFormat="1" ht="42.75">
      <c r="A91" s="416" t="s">
        <v>432</v>
      </c>
      <c r="B91" s="417" t="s">
        <v>1525</v>
      </c>
      <c r="C91" s="417" t="s">
        <v>1400</v>
      </c>
      <c r="D91" s="416" t="s">
        <v>1526</v>
      </c>
      <c r="E91" s="417" t="s">
        <v>1398</v>
      </c>
      <c r="F91" s="418">
        <v>924.4</v>
      </c>
      <c r="G91" s="419">
        <v>88.25</v>
      </c>
      <c r="H91" s="418">
        <v>25</v>
      </c>
      <c r="I91" s="419">
        <v>110.31</v>
      </c>
      <c r="J91" s="419">
        <v>101970.56</v>
      </c>
    </row>
    <row r="92" spans="1:10" s="237" customFormat="1" ht="42.75">
      <c r="A92" s="416" t="s">
        <v>433</v>
      </c>
      <c r="B92" s="417" t="s">
        <v>1527</v>
      </c>
      <c r="C92" s="417" t="s">
        <v>1400</v>
      </c>
      <c r="D92" s="416" t="s">
        <v>1528</v>
      </c>
      <c r="E92" s="417" t="s">
        <v>1416</v>
      </c>
      <c r="F92" s="418">
        <v>36.700000000000003</v>
      </c>
      <c r="G92" s="419">
        <v>91.31</v>
      </c>
      <c r="H92" s="418">
        <v>25</v>
      </c>
      <c r="I92" s="419">
        <v>114.14</v>
      </c>
      <c r="J92" s="419">
        <v>4188.9399999999996</v>
      </c>
    </row>
    <row r="93" spans="1:10" s="237" customFormat="1" ht="42.75">
      <c r="A93" s="416" t="s">
        <v>1346</v>
      </c>
      <c r="B93" s="417" t="s">
        <v>1529</v>
      </c>
      <c r="C93" s="417" t="s">
        <v>1400</v>
      </c>
      <c r="D93" s="416" t="s">
        <v>1530</v>
      </c>
      <c r="E93" s="417" t="s">
        <v>1416</v>
      </c>
      <c r="F93" s="418">
        <v>102.5</v>
      </c>
      <c r="G93" s="419">
        <v>175.68</v>
      </c>
      <c r="H93" s="418">
        <v>25</v>
      </c>
      <c r="I93" s="419">
        <v>219.6</v>
      </c>
      <c r="J93" s="419">
        <v>22509</v>
      </c>
    </row>
    <row r="94" spans="1:10" s="237" customFormat="1" ht="28.5">
      <c r="A94" s="416" t="s">
        <v>898</v>
      </c>
      <c r="B94" s="417" t="s">
        <v>1012</v>
      </c>
      <c r="C94" s="417" t="s">
        <v>1396</v>
      </c>
      <c r="D94" s="416" t="s">
        <v>1531</v>
      </c>
      <c r="E94" s="417" t="s">
        <v>1416</v>
      </c>
      <c r="F94" s="418">
        <v>236.09</v>
      </c>
      <c r="G94" s="419">
        <v>71.53</v>
      </c>
      <c r="H94" s="418">
        <v>25</v>
      </c>
      <c r="I94" s="419">
        <v>89.41</v>
      </c>
      <c r="J94" s="419">
        <v>21108.81</v>
      </c>
    </row>
    <row r="95" spans="1:10" s="237" customFormat="1" ht="28.5">
      <c r="A95" s="416" t="s">
        <v>899</v>
      </c>
      <c r="B95" s="417" t="s">
        <v>1013</v>
      </c>
      <c r="C95" s="417" t="s">
        <v>1396</v>
      </c>
      <c r="D95" s="416" t="s">
        <v>447</v>
      </c>
      <c r="E95" s="417" t="s">
        <v>1398</v>
      </c>
      <c r="F95" s="418">
        <v>50.68</v>
      </c>
      <c r="G95" s="419">
        <v>232.83</v>
      </c>
      <c r="H95" s="418">
        <v>25</v>
      </c>
      <c r="I95" s="419">
        <v>291.04000000000002</v>
      </c>
      <c r="J95" s="419">
        <v>14749.91</v>
      </c>
    </row>
    <row r="96" spans="1:10" s="237" customFormat="1" ht="57">
      <c r="A96" s="416" t="s">
        <v>900</v>
      </c>
      <c r="B96" s="417" t="s">
        <v>2507</v>
      </c>
      <c r="C96" s="417" t="s">
        <v>1400</v>
      </c>
      <c r="D96" s="416" t="s">
        <v>2515</v>
      </c>
      <c r="E96" s="417" t="s">
        <v>1398</v>
      </c>
      <c r="F96" s="418">
        <v>3535.21</v>
      </c>
      <c r="G96" s="419">
        <v>31.26</v>
      </c>
      <c r="H96" s="418">
        <v>25</v>
      </c>
      <c r="I96" s="419">
        <v>39.08</v>
      </c>
      <c r="J96" s="419">
        <v>138156.01</v>
      </c>
    </row>
    <row r="97" spans="1:10" s="237" customFormat="1" ht="57">
      <c r="A97" s="416" t="s">
        <v>2505</v>
      </c>
      <c r="B97" s="417" t="s">
        <v>1599</v>
      </c>
      <c r="C97" s="417" t="s">
        <v>1400</v>
      </c>
      <c r="D97" s="416" t="s">
        <v>1600</v>
      </c>
      <c r="E97" s="417" t="s">
        <v>1398</v>
      </c>
      <c r="F97" s="418">
        <v>3535.21</v>
      </c>
      <c r="G97" s="419">
        <v>60.95</v>
      </c>
      <c r="H97" s="418">
        <v>25</v>
      </c>
      <c r="I97" s="419">
        <v>76.19</v>
      </c>
      <c r="J97" s="419">
        <v>269347.65000000002</v>
      </c>
    </row>
    <row r="98" spans="1:10" s="237" customFormat="1" ht="15" customHeight="1">
      <c r="A98" s="241" t="s">
        <v>1532</v>
      </c>
      <c r="B98" s="242" t="s">
        <v>54</v>
      </c>
      <c r="C98" s="242"/>
      <c r="D98" s="242"/>
      <c r="E98" s="242"/>
      <c r="F98" s="242"/>
      <c r="G98" s="242"/>
      <c r="H98" s="242"/>
      <c r="I98" s="242"/>
      <c r="J98" s="243">
        <v>362764.17</v>
      </c>
    </row>
    <row r="99" spans="1:10" s="237" customFormat="1" ht="15" customHeight="1">
      <c r="A99" s="241" t="s">
        <v>133</v>
      </c>
      <c r="B99" s="242" t="s">
        <v>55</v>
      </c>
      <c r="C99" s="242"/>
      <c r="D99" s="242"/>
      <c r="E99" s="242"/>
      <c r="F99" s="242"/>
      <c r="G99" s="242"/>
      <c r="H99" s="242"/>
      <c r="I99" s="242"/>
      <c r="J99" s="243">
        <v>235580.38</v>
      </c>
    </row>
    <row r="100" spans="1:10" s="237" customFormat="1" ht="85.5">
      <c r="A100" s="416" t="s">
        <v>366</v>
      </c>
      <c r="B100" s="417" t="s">
        <v>1533</v>
      </c>
      <c r="C100" s="417" t="s">
        <v>1400</v>
      </c>
      <c r="D100" s="416" t="s">
        <v>1534</v>
      </c>
      <c r="E100" s="417" t="s">
        <v>1398</v>
      </c>
      <c r="F100" s="418">
        <v>449.26</v>
      </c>
      <c r="G100" s="419">
        <v>50.79</v>
      </c>
      <c r="H100" s="418">
        <v>25</v>
      </c>
      <c r="I100" s="419">
        <v>63.49</v>
      </c>
      <c r="J100" s="419">
        <v>28523.52</v>
      </c>
    </row>
    <row r="101" spans="1:10" s="237" customFormat="1" ht="42.75">
      <c r="A101" s="416" t="s">
        <v>367</v>
      </c>
      <c r="B101" s="417" t="s">
        <v>1535</v>
      </c>
      <c r="C101" s="417" t="s">
        <v>1400</v>
      </c>
      <c r="D101" s="416" t="s">
        <v>1536</v>
      </c>
      <c r="E101" s="417" t="s">
        <v>1398</v>
      </c>
      <c r="F101" s="418">
        <v>206.9</v>
      </c>
      <c r="G101" s="419">
        <v>149.16999999999999</v>
      </c>
      <c r="H101" s="418">
        <v>25</v>
      </c>
      <c r="I101" s="419">
        <v>186.46</v>
      </c>
      <c r="J101" s="419">
        <v>38578.57</v>
      </c>
    </row>
    <row r="102" spans="1:10" s="237" customFormat="1" ht="42.75">
      <c r="A102" s="416" t="s">
        <v>368</v>
      </c>
      <c r="B102" s="417" t="s">
        <v>1537</v>
      </c>
      <c r="C102" s="417" t="s">
        <v>1400</v>
      </c>
      <c r="D102" s="416" t="s">
        <v>1538</v>
      </c>
      <c r="E102" s="417" t="s">
        <v>1398</v>
      </c>
      <c r="F102" s="418">
        <v>451.3</v>
      </c>
      <c r="G102" s="419">
        <v>45.24</v>
      </c>
      <c r="H102" s="418">
        <v>25</v>
      </c>
      <c r="I102" s="419">
        <v>56.55</v>
      </c>
      <c r="J102" s="419">
        <v>25521.02</v>
      </c>
    </row>
    <row r="103" spans="1:10" s="237" customFormat="1" ht="28.5">
      <c r="A103" s="416" t="s">
        <v>369</v>
      </c>
      <c r="B103" s="417" t="s">
        <v>1539</v>
      </c>
      <c r="C103" s="417" t="s">
        <v>1400</v>
      </c>
      <c r="D103" s="416" t="s">
        <v>1540</v>
      </c>
      <c r="E103" s="417" t="s">
        <v>1398</v>
      </c>
      <c r="F103" s="418">
        <v>242.36</v>
      </c>
      <c r="G103" s="419">
        <v>222.33</v>
      </c>
      <c r="H103" s="418">
        <v>25</v>
      </c>
      <c r="I103" s="419">
        <v>277.91000000000003</v>
      </c>
      <c r="J103" s="419">
        <v>67354.27</v>
      </c>
    </row>
    <row r="104" spans="1:10" s="237" customFormat="1" ht="28.5">
      <c r="A104" s="416" t="s">
        <v>399</v>
      </c>
      <c r="B104" s="417" t="s">
        <v>1541</v>
      </c>
      <c r="C104" s="417" t="s">
        <v>1396</v>
      </c>
      <c r="D104" s="416" t="s">
        <v>457</v>
      </c>
      <c r="E104" s="417" t="s">
        <v>1416</v>
      </c>
      <c r="F104" s="418">
        <v>424.82</v>
      </c>
      <c r="G104" s="419">
        <v>23.15</v>
      </c>
      <c r="H104" s="418">
        <v>25</v>
      </c>
      <c r="I104" s="419">
        <v>28.94</v>
      </c>
      <c r="J104" s="419">
        <v>12294.29</v>
      </c>
    </row>
    <row r="105" spans="1:10" s="237" customFormat="1" ht="42.75">
      <c r="A105" s="416" t="s">
        <v>400</v>
      </c>
      <c r="B105" s="417" t="s">
        <v>1542</v>
      </c>
      <c r="C105" s="417" t="s">
        <v>1400</v>
      </c>
      <c r="D105" s="416" t="s">
        <v>1543</v>
      </c>
      <c r="E105" s="417" t="s">
        <v>1422</v>
      </c>
      <c r="F105" s="418">
        <v>12.24</v>
      </c>
      <c r="G105" s="419">
        <v>148.31</v>
      </c>
      <c r="H105" s="418">
        <v>25</v>
      </c>
      <c r="I105" s="419">
        <v>185.39</v>
      </c>
      <c r="J105" s="419">
        <v>2269.17</v>
      </c>
    </row>
    <row r="106" spans="1:10" s="237" customFormat="1" ht="28.5">
      <c r="A106" s="416" t="s">
        <v>401</v>
      </c>
      <c r="B106" s="417" t="s">
        <v>1544</v>
      </c>
      <c r="C106" s="417" t="s">
        <v>1400</v>
      </c>
      <c r="D106" s="416" t="s">
        <v>1545</v>
      </c>
      <c r="E106" s="417" t="s">
        <v>1416</v>
      </c>
      <c r="F106" s="418">
        <v>221.25</v>
      </c>
      <c r="G106" s="419">
        <v>190.49</v>
      </c>
      <c r="H106" s="418">
        <v>25</v>
      </c>
      <c r="I106" s="419">
        <v>238.11</v>
      </c>
      <c r="J106" s="419">
        <v>52681.84</v>
      </c>
    </row>
    <row r="107" spans="1:10" s="237" customFormat="1" ht="28.5">
      <c r="A107" s="416" t="s">
        <v>402</v>
      </c>
      <c r="B107" s="417" t="s">
        <v>1546</v>
      </c>
      <c r="C107" s="417" t="s">
        <v>1400</v>
      </c>
      <c r="D107" s="416" t="s">
        <v>1547</v>
      </c>
      <c r="E107" s="417" t="s">
        <v>1422</v>
      </c>
      <c r="F107" s="418">
        <v>1.51</v>
      </c>
      <c r="G107" s="419">
        <v>83.25</v>
      </c>
      <c r="H107" s="418">
        <v>25</v>
      </c>
      <c r="I107" s="419">
        <v>104.06</v>
      </c>
      <c r="J107" s="419">
        <v>157.13</v>
      </c>
    </row>
    <row r="108" spans="1:10" s="237" customFormat="1" ht="28.5">
      <c r="A108" s="416" t="s">
        <v>403</v>
      </c>
      <c r="B108" s="417" t="s">
        <v>1548</v>
      </c>
      <c r="C108" s="417" t="s">
        <v>1400</v>
      </c>
      <c r="D108" s="416" t="s">
        <v>1549</v>
      </c>
      <c r="E108" s="417" t="s">
        <v>1398</v>
      </c>
      <c r="F108" s="418">
        <v>4.8600000000000003</v>
      </c>
      <c r="G108" s="419">
        <v>19.63</v>
      </c>
      <c r="H108" s="418">
        <v>25</v>
      </c>
      <c r="I108" s="419">
        <v>24.54</v>
      </c>
      <c r="J108" s="419">
        <v>119.26</v>
      </c>
    </row>
    <row r="109" spans="1:10" s="237" customFormat="1" ht="28.5">
      <c r="A109" s="416" t="s">
        <v>404</v>
      </c>
      <c r="B109" s="417" t="s">
        <v>1550</v>
      </c>
      <c r="C109" s="417" t="s">
        <v>1400</v>
      </c>
      <c r="D109" s="416" t="s">
        <v>1551</v>
      </c>
      <c r="E109" s="417" t="s">
        <v>1416</v>
      </c>
      <c r="F109" s="418">
        <v>53.7</v>
      </c>
      <c r="G109" s="419">
        <v>120.39</v>
      </c>
      <c r="H109" s="418">
        <v>25</v>
      </c>
      <c r="I109" s="419">
        <v>150.49</v>
      </c>
      <c r="J109" s="419">
        <v>8081.31</v>
      </c>
    </row>
    <row r="110" spans="1:10" s="237" customFormat="1" ht="15" customHeight="1">
      <c r="A110" s="241" t="s">
        <v>143</v>
      </c>
      <c r="B110" s="242" t="s">
        <v>56</v>
      </c>
      <c r="C110" s="242"/>
      <c r="D110" s="242"/>
      <c r="E110" s="242"/>
      <c r="F110" s="242"/>
      <c r="G110" s="242"/>
      <c r="H110" s="242"/>
      <c r="I110" s="242"/>
      <c r="J110" s="243">
        <v>127183.79</v>
      </c>
    </row>
    <row r="111" spans="1:10" s="237" customFormat="1" ht="42.75">
      <c r="A111" s="416" t="s">
        <v>405</v>
      </c>
      <c r="B111" s="417" t="s">
        <v>1552</v>
      </c>
      <c r="C111" s="417" t="s">
        <v>1400</v>
      </c>
      <c r="D111" s="416" t="s">
        <v>1553</v>
      </c>
      <c r="E111" s="417" t="s">
        <v>1422</v>
      </c>
      <c r="F111" s="418">
        <v>22.23</v>
      </c>
      <c r="G111" s="419">
        <v>775.18</v>
      </c>
      <c r="H111" s="418">
        <v>25</v>
      </c>
      <c r="I111" s="419">
        <v>968.98</v>
      </c>
      <c r="J111" s="419">
        <v>21540.43</v>
      </c>
    </row>
    <row r="112" spans="1:10" s="237" customFormat="1" ht="28.5">
      <c r="A112" s="416" t="s">
        <v>406</v>
      </c>
      <c r="B112" s="417" t="s">
        <v>1015</v>
      </c>
      <c r="C112" s="417" t="s">
        <v>1396</v>
      </c>
      <c r="D112" s="416" t="s">
        <v>1554</v>
      </c>
      <c r="E112" s="417" t="s">
        <v>1416</v>
      </c>
      <c r="F112" s="418">
        <v>463.98</v>
      </c>
      <c r="G112" s="419">
        <v>9.68</v>
      </c>
      <c r="H112" s="418">
        <v>25</v>
      </c>
      <c r="I112" s="419">
        <v>12.1</v>
      </c>
      <c r="J112" s="419">
        <v>5614.16</v>
      </c>
    </row>
    <row r="113" spans="1:10" s="237" customFormat="1" ht="28.5">
      <c r="A113" s="416" t="s">
        <v>407</v>
      </c>
      <c r="B113" s="417" t="s">
        <v>1016</v>
      </c>
      <c r="C113" s="417" t="s">
        <v>1396</v>
      </c>
      <c r="D113" s="416" t="s">
        <v>488</v>
      </c>
      <c r="E113" s="417" t="s">
        <v>1398</v>
      </c>
      <c r="F113" s="418">
        <v>32.44</v>
      </c>
      <c r="G113" s="419">
        <v>14.1</v>
      </c>
      <c r="H113" s="418">
        <v>25</v>
      </c>
      <c r="I113" s="419">
        <v>17.63</v>
      </c>
      <c r="J113" s="419">
        <v>571.91999999999996</v>
      </c>
    </row>
    <row r="114" spans="1:10" s="237" customFormat="1" ht="71.25">
      <c r="A114" s="416" t="s">
        <v>408</v>
      </c>
      <c r="B114" s="417" t="s">
        <v>1555</v>
      </c>
      <c r="C114" s="417" t="s">
        <v>1400</v>
      </c>
      <c r="D114" s="416" t="s">
        <v>1556</v>
      </c>
      <c r="E114" s="417" t="s">
        <v>1416</v>
      </c>
      <c r="F114" s="418">
        <v>234.95</v>
      </c>
      <c r="G114" s="419">
        <v>56.7</v>
      </c>
      <c r="H114" s="418">
        <v>25</v>
      </c>
      <c r="I114" s="419">
        <v>70.88</v>
      </c>
      <c r="J114" s="419">
        <v>16653.259999999998</v>
      </c>
    </row>
    <row r="115" spans="1:10" s="237" customFormat="1" ht="42.75">
      <c r="A115" s="416" t="s">
        <v>482</v>
      </c>
      <c r="B115" s="417" t="s">
        <v>1557</v>
      </c>
      <c r="C115" s="417" t="s">
        <v>1400</v>
      </c>
      <c r="D115" s="416" t="s">
        <v>1558</v>
      </c>
      <c r="E115" s="417" t="s">
        <v>1398</v>
      </c>
      <c r="F115" s="418">
        <v>111.84</v>
      </c>
      <c r="G115" s="419">
        <v>83.65</v>
      </c>
      <c r="H115" s="418">
        <v>25</v>
      </c>
      <c r="I115" s="419">
        <v>104.56</v>
      </c>
      <c r="J115" s="419">
        <v>11693.99</v>
      </c>
    </row>
    <row r="116" spans="1:10" s="237" customFormat="1" ht="42.75">
      <c r="A116" s="416" t="s">
        <v>483</v>
      </c>
      <c r="B116" s="417" t="s">
        <v>1559</v>
      </c>
      <c r="C116" s="417" t="s">
        <v>1400</v>
      </c>
      <c r="D116" s="416" t="s">
        <v>1560</v>
      </c>
      <c r="E116" s="417" t="s">
        <v>1398</v>
      </c>
      <c r="F116" s="418">
        <v>541.53</v>
      </c>
      <c r="G116" s="419">
        <v>71.14</v>
      </c>
      <c r="H116" s="418">
        <v>25</v>
      </c>
      <c r="I116" s="419">
        <v>88.93</v>
      </c>
      <c r="J116" s="419">
        <v>48158.26</v>
      </c>
    </row>
    <row r="117" spans="1:10" s="237" customFormat="1" ht="57">
      <c r="A117" s="416" t="s">
        <v>409</v>
      </c>
      <c r="B117" s="417" t="s">
        <v>1428</v>
      </c>
      <c r="C117" s="417" t="s">
        <v>1400</v>
      </c>
      <c r="D117" s="416" t="s">
        <v>1429</v>
      </c>
      <c r="E117" s="417" t="s">
        <v>1398</v>
      </c>
      <c r="F117" s="418">
        <v>931.2</v>
      </c>
      <c r="G117" s="419">
        <v>0.88</v>
      </c>
      <c r="H117" s="418">
        <v>25</v>
      </c>
      <c r="I117" s="419">
        <v>1.1000000000000001</v>
      </c>
      <c r="J117" s="419">
        <v>1024.32</v>
      </c>
    </row>
    <row r="118" spans="1:10" s="237" customFormat="1" ht="28.5">
      <c r="A118" s="416" t="s">
        <v>936</v>
      </c>
      <c r="B118" s="417" t="s">
        <v>1561</v>
      </c>
      <c r="C118" s="417" t="s">
        <v>1400</v>
      </c>
      <c r="D118" s="416" t="s">
        <v>1562</v>
      </c>
      <c r="E118" s="417" t="s">
        <v>1398</v>
      </c>
      <c r="F118" s="418">
        <v>513.11</v>
      </c>
      <c r="G118" s="419">
        <v>22.41</v>
      </c>
      <c r="H118" s="418">
        <v>25</v>
      </c>
      <c r="I118" s="419">
        <v>28.01</v>
      </c>
      <c r="J118" s="419">
        <v>14372.21</v>
      </c>
    </row>
    <row r="119" spans="1:10" s="237" customFormat="1" ht="28.5">
      <c r="A119" s="416" t="s">
        <v>938</v>
      </c>
      <c r="B119" s="417" t="s">
        <v>1563</v>
      </c>
      <c r="C119" s="417" t="s">
        <v>1400</v>
      </c>
      <c r="D119" s="416" t="s">
        <v>1564</v>
      </c>
      <c r="E119" s="417" t="s">
        <v>1422</v>
      </c>
      <c r="F119" s="418">
        <v>6.58</v>
      </c>
      <c r="G119" s="419">
        <v>108.67</v>
      </c>
      <c r="H119" s="418">
        <v>25</v>
      </c>
      <c r="I119" s="419">
        <v>135.84</v>
      </c>
      <c r="J119" s="419">
        <v>893.83</v>
      </c>
    </row>
    <row r="120" spans="1:10" s="237" customFormat="1" ht="28.5">
      <c r="A120" s="416" t="s">
        <v>1189</v>
      </c>
      <c r="B120" s="417" t="s">
        <v>1017</v>
      </c>
      <c r="C120" s="417" t="s">
        <v>1396</v>
      </c>
      <c r="D120" s="416" t="s">
        <v>939</v>
      </c>
      <c r="E120" s="417" t="s">
        <v>1422</v>
      </c>
      <c r="F120" s="418">
        <v>20.52</v>
      </c>
      <c r="G120" s="419">
        <v>259.7</v>
      </c>
      <c r="H120" s="418">
        <v>25</v>
      </c>
      <c r="I120" s="419">
        <v>324.63</v>
      </c>
      <c r="J120" s="419">
        <v>6661.41</v>
      </c>
    </row>
    <row r="121" spans="1:10" s="237" customFormat="1" ht="15" customHeight="1">
      <c r="A121" s="241" t="s">
        <v>1565</v>
      </c>
      <c r="B121" s="242" t="s">
        <v>1566</v>
      </c>
      <c r="C121" s="242"/>
      <c r="D121" s="242"/>
      <c r="E121" s="242"/>
      <c r="F121" s="242"/>
      <c r="G121" s="242"/>
      <c r="H121" s="242"/>
      <c r="I121" s="242"/>
      <c r="J121" s="243">
        <v>362852.66</v>
      </c>
    </row>
    <row r="122" spans="1:10" s="237" customFormat="1" ht="15" customHeight="1">
      <c r="A122" s="241" t="s">
        <v>153</v>
      </c>
      <c r="B122" s="242" t="s">
        <v>49</v>
      </c>
      <c r="C122" s="242"/>
      <c r="D122" s="242"/>
      <c r="E122" s="242"/>
      <c r="F122" s="242"/>
      <c r="G122" s="242"/>
      <c r="H122" s="242"/>
      <c r="I122" s="242"/>
      <c r="J122" s="243">
        <v>65588.03</v>
      </c>
    </row>
    <row r="123" spans="1:10" s="237" customFormat="1" ht="71.25">
      <c r="A123" s="416" t="s">
        <v>372</v>
      </c>
      <c r="B123" s="417" t="s">
        <v>1261</v>
      </c>
      <c r="C123" s="417" t="s">
        <v>1396</v>
      </c>
      <c r="D123" s="416" t="s">
        <v>1140</v>
      </c>
      <c r="E123" s="417" t="s">
        <v>1403</v>
      </c>
      <c r="F123" s="418">
        <v>6</v>
      </c>
      <c r="G123" s="419">
        <v>1617.92</v>
      </c>
      <c r="H123" s="418">
        <v>25</v>
      </c>
      <c r="I123" s="419">
        <v>2022.4</v>
      </c>
      <c r="J123" s="419">
        <v>12134.4</v>
      </c>
    </row>
    <row r="124" spans="1:10" s="237" customFormat="1" ht="71.25">
      <c r="A124" s="416" t="s">
        <v>410</v>
      </c>
      <c r="B124" s="417" t="s">
        <v>1567</v>
      </c>
      <c r="C124" s="417" t="s">
        <v>1400</v>
      </c>
      <c r="D124" s="416" t="s">
        <v>1568</v>
      </c>
      <c r="E124" s="417" t="s">
        <v>1403</v>
      </c>
      <c r="F124" s="418">
        <v>9</v>
      </c>
      <c r="G124" s="419">
        <v>1301.78</v>
      </c>
      <c r="H124" s="418">
        <v>25</v>
      </c>
      <c r="I124" s="419">
        <v>1627.23</v>
      </c>
      <c r="J124" s="419">
        <v>14645.07</v>
      </c>
    </row>
    <row r="125" spans="1:10" s="237" customFormat="1" ht="71.25">
      <c r="A125" s="416" t="s">
        <v>411</v>
      </c>
      <c r="B125" s="417" t="s">
        <v>1569</v>
      </c>
      <c r="C125" s="417" t="s">
        <v>1400</v>
      </c>
      <c r="D125" s="416" t="s">
        <v>1570</v>
      </c>
      <c r="E125" s="417" t="s">
        <v>1403</v>
      </c>
      <c r="F125" s="418">
        <v>5</v>
      </c>
      <c r="G125" s="419">
        <v>1217.3599999999999</v>
      </c>
      <c r="H125" s="418">
        <v>25</v>
      </c>
      <c r="I125" s="419">
        <v>1521.7</v>
      </c>
      <c r="J125" s="419">
        <v>7608.5</v>
      </c>
    </row>
    <row r="126" spans="1:10" s="237" customFormat="1" ht="71.25">
      <c r="A126" s="416" t="s">
        <v>412</v>
      </c>
      <c r="B126" s="417" t="s">
        <v>1571</v>
      </c>
      <c r="C126" s="417" t="s">
        <v>1400</v>
      </c>
      <c r="D126" s="416" t="s">
        <v>1572</v>
      </c>
      <c r="E126" s="417" t="s">
        <v>1403</v>
      </c>
      <c r="F126" s="418">
        <v>6</v>
      </c>
      <c r="G126" s="419">
        <v>1162.03</v>
      </c>
      <c r="H126" s="418">
        <v>25</v>
      </c>
      <c r="I126" s="419">
        <v>1452.54</v>
      </c>
      <c r="J126" s="419">
        <v>8715.24</v>
      </c>
    </row>
    <row r="127" spans="1:10" s="237" customFormat="1" ht="71.25">
      <c r="A127" s="416" t="s">
        <v>1111</v>
      </c>
      <c r="B127" s="417" t="s">
        <v>1573</v>
      </c>
      <c r="C127" s="417" t="s">
        <v>1400</v>
      </c>
      <c r="D127" s="416" t="s">
        <v>1574</v>
      </c>
      <c r="E127" s="417" t="s">
        <v>1403</v>
      </c>
      <c r="F127" s="418">
        <v>11</v>
      </c>
      <c r="G127" s="419">
        <v>1150.6300000000001</v>
      </c>
      <c r="H127" s="418">
        <v>25</v>
      </c>
      <c r="I127" s="419">
        <v>1438.29</v>
      </c>
      <c r="J127" s="419">
        <v>15821.19</v>
      </c>
    </row>
    <row r="128" spans="1:10" s="237" customFormat="1" ht="28.5">
      <c r="A128" s="416" t="s">
        <v>1142</v>
      </c>
      <c r="B128" s="417" t="s">
        <v>1075</v>
      </c>
      <c r="C128" s="417" t="s">
        <v>1396</v>
      </c>
      <c r="D128" s="416" t="s">
        <v>1074</v>
      </c>
      <c r="E128" s="417" t="s">
        <v>1416</v>
      </c>
      <c r="F128" s="418">
        <v>137.13999999999999</v>
      </c>
      <c r="G128" s="419">
        <v>38.869999999999997</v>
      </c>
      <c r="H128" s="418">
        <v>25</v>
      </c>
      <c r="I128" s="419">
        <v>48.59</v>
      </c>
      <c r="J128" s="419">
        <v>6663.63</v>
      </c>
    </row>
    <row r="129" spans="1:10" s="237" customFormat="1" ht="15" customHeight="1">
      <c r="A129" s="241" t="s">
        <v>154</v>
      </c>
      <c r="B129" s="242" t="s">
        <v>51</v>
      </c>
      <c r="C129" s="242"/>
      <c r="D129" s="242"/>
      <c r="E129" s="242"/>
      <c r="F129" s="242"/>
      <c r="G129" s="242"/>
      <c r="H129" s="242"/>
      <c r="I129" s="242"/>
      <c r="J129" s="243">
        <v>7553.09</v>
      </c>
    </row>
    <row r="130" spans="1:10" s="237" customFormat="1" ht="28.5">
      <c r="A130" s="416" t="s">
        <v>413</v>
      </c>
      <c r="B130" s="417" t="s">
        <v>1575</v>
      </c>
      <c r="C130" s="417" t="s">
        <v>1400</v>
      </c>
      <c r="D130" s="416" t="s">
        <v>1576</v>
      </c>
      <c r="E130" s="417" t="s">
        <v>1403</v>
      </c>
      <c r="F130" s="418">
        <v>10</v>
      </c>
      <c r="G130" s="419">
        <v>263.69</v>
      </c>
      <c r="H130" s="418">
        <v>25</v>
      </c>
      <c r="I130" s="419">
        <v>329.61</v>
      </c>
      <c r="J130" s="419">
        <v>3296.1</v>
      </c>
    </row>
    <row r="131" spans="1:10" s="237" customFormat="1" ht="28.5">
      <c r="A131" s="416" t="s">
        <v>414</v>
      </c>
      <c r="B131" s="417" t="s">
        <v>1577</v>
      </c>
      <c r="C131" s="417" t="s">
        <v>1400</v>
      </c>
      <c r="D131" s="416" t="s">
        <v>1578</v>
      </c>
      <c r="E131" s="417" t="s">
        <v>1403</v>
      </c>
      <c r="F131" s="418">
        <v>11</v>
      </c>
      <c r="G131" s="419">
        <v>96.99</v>
      </c>
      <c r="H131" s="418">
        <v>25</v>
      </c>
      <c r="I131" s="419">
        <v>121.24</v>
      </c>
      <c r="J131" s="419">
        <v>1333.64</v>
      </c>
    </row>
    <row r="132" spans="1:10" s="237" customFormat="1" ht="28.5">
      <c r="A132" s="416" t="s">
        <v>415</v>
      </c>
      <c r="B132" s="417" t="s">
        <v>1112</v>
      </c>
      <c r="C132" s="417" t="s">
        <v>1396</v>
      </c>
      <c r="D132" s="416" t="s">
        <v>1077</v>
      </c>
      <c r="E132" s="417" t="s">
        <v>1398</v>
      </c>
      <c r="F132" s="418">
        <v>9</v>
      </c>
      <c r="G132" s="419">
        <v>166.68</v>
      </c>
      <c r="H132" s="418">
        <v>25</v>
      </c>
      <c r="I132" s="419">
        <v>208.35</v>
      </c>
      <c r="J132" s="419">
        <v>1875.15</v>
      </c>
    </row>
    <row r="133" spans="1:10" s="237" customFormat="1" ht="57">
      <c r="A133" s="416" t="s">
        <v>902</v>
      </c>
      <c r="B133" s="417" t="s">
        <v>1579</v>
      </c>
      <c r="C133" s="417" t="s">
        <v>1400</v>
      </c>
      <c r="D133" s="416" t="s">
        <v>1580</v>
      </c>
      <c r="E133" s="417" t="s">
        <v>1403</v>
      </c>
      <c r="F133" s="418">
        <v>4</v>
      </c>
      <c r="G133" s="419">
        <v>209.64</v>
      </c>
      <c r="H133" s="418">
        <v>25</v>
      </c>
      <c r="I133" s="419">
        <v>262.05</v>
      </c>
      <c r="J133" s="419">
        <v>1048.2</v>
      </c>
    </row>
    <row r="134" spans="1:10" s="237" customFormat="1" ht="15.75">
      <c r="A134" s="241" t="s">
        <v>416</v>
      </c>
      <c r="B134" s="242" t="s">
        <v>52</v>
      </c>
      <c r="C134" s="242"/>
      <c r="D134" s="242"/>
      <c r="E134" s="242"/>
      <c r="F134" s="242"/>
      <c r="G134" s="242"/>
      <c r="H134" s="242"/>
      <c r="I134" s="242"/>
      <c r="J134" s="243">
        <v>13098.7</v>
      </c>
    </row>
    <row r="135" spans="1:10" s="237" customFormat="1" ht="42.75">
      <c r="A135" s="416" t="s">
        <v>417</v>
      </c>
      <c r="B135" s="417" t="s">
        <v>1078</v>
      </c>
      <c r="C135" s="417" t="s">
        <v>1396</v>
      </c>
      <c r="D135" s="416" t="s">
        <v>1581</v>
      </c>
      <c r="E135" s="417" t="s">
        <v>1403</v>
      </c>
      <c r="F135" s="418">
        <v>1</v>
      </c>
      <c r="G135" s="419">
        <v>5029.3999999999996</v>
      </c>
      <c r="H135" s="418">
        <v>25</v>
      </c>
      <c r="I135" s="419">
        <v>6286.75</v>
      </c>
      <c r="J135" s="419">
        <v>6286.75</v>
      </c>
    </row>
    <row r="136" spans="1:10" s="237" customFormat="1" ht="28.5">
      <c r="A136" s="416" t="s">
        <v>418</v>
      </c>
      <c r="B136" s="417" t="s">
        <v>1018</v>
      </c>
      <c r="C136" s="417" t="s">
        <v>1396</v>
      </c>
      <c r="D136" s="416" t="s">
        <v>147</v>
      </c>
      <c r="E136" s="417" t="s">
        <v>1398</v>
      </c>
      <c r="F136" s="418">
        <v>5.92</v>
      </c>
      <c r="G136" s="419">
        <v>378.48</v>
      </c>
      <c r="H136" s="418">
        <v>25</v>
      </c>
      <c r="I136" s="419">
        <v>473.1</v>
      </c>
      <c r="J136" s="419">
        <v>2800.75</v>
      </c>
    </row>
    <row r="137" spans="1:10" s="237" customFormat="1" ht="28.5">
      <c r="A137" s="416" t="s">
        <v>419</v>
      </c>
      <c r="B137" s="417" t="s">
        <v>1582</v>
      </c>
      <c r="C137" s="417" t="s">
        <v>1400</v>
      </c>
      <c r="D137" s="416" t="s">
        <v>1583</v>
      </c>
      <c r="E137" s="417" t="s">
        <v>1398</v>
      </c>
      <c r="F137" s="418">
        <v>5.22</v>
      </c>
      <c r="G137" s="419">
        <v>614.74</v>
      </c>
      <c r="H137" s="418">
        <v>25</v>
      </c>
      <c r="I137" s="419">
        <v>768.43</v>
      </c>
      <c r="J137" s="419">
        <v>4011.2</v>
      </c>
    </row>
    <row r="138" spans="1:10" s="237" customFormat="1" ht="15" customHeight="1">
      <c r="A138" s="241" t="s">
        <v>238</v>
      </c>
      <c r="B138" s="242" t="s">
        <v>53</v>
      </c>
      <c r="C138" s="242"/>
      <c r="D138" s="242"/>
      <c r="E138" s="242"/>
      <c r="F138" s="242"/>
      <c r="G138" s="242"/>
      <c r="H138" s="242"/>
      <c r="I138" s="242"/>
      <c r="J138" s="243">
        <v>76518.84</v>
      </c>
    </row>
    <row r="139" spans="1:10" s="237" customFormat="1" ht="42.75">
      <c r="A139" s="416" t="s">
        <v>420</v>
      </c>
      <c r="B139" s="417" t="s">
        <v>1584</v>
      </c>
      <c r="C139" s="417" t="s">
        <v>1400</v>
      </c>
      <c r="D139" s="416" t="s">
        <v>1585</v>
      </c>
      <c r="E139" s="417" t="s">
        <v>1398</v>
      </c>
      <c r="F139" s="418">
        <v>67.900000000000006</v>
      </c>
      <c r="G139" s="419">
        <v>794.4</v>
      </c>
      <c r="H139" s="418">
        <v>25</v>
      </c>
      <c r="I139" s="419">
        <v>993</v>
      </c>
      <c r="J139" s="419">
        <v>67424.7</v>
      </c>
    </row>
    <row r="140" spans="1:10" s="237" customFormat="1" ht="42.75">
      <c r="A140" s="416" t="s">
        <v>421</v>
      </c>
      <c r="B140" s="417" t="s">
        <v>1586</v>
      </c>
      <c r="C140" s="417" t="s">
        <v>1400</v>
      </c>
      <c r="D140" s="416" t="s">
        <v>1587</v>
      </c>
      <c r="E140" s="417" t="s">
        <v>1398</v>
      </c>
      <c r="F140" s="418">
        <v>2.6</v>
      </c>
      <c r="G140" s="419">
        <v>855.06</v>
      </c>
      <c r="H140" s="418">
        <v>25</v>
      </c>
      <c r="I140" s="419">
        <v>1068.83</v>
      </c>
      <c r="J140" s="419">
        <v>2778.96</v>
      </c>
    </row>
    <row r="141" spans="1:10" s="237" customFormat="1" ht="57">
      <c r="A141" s="416" t="s">
        <v>422</v>
      </c>
      <c r="B141" s="417" t="s">
        <v>1588</v>
      </c>
      <c r="C141" s="417" t="s">
        <v>1400</v>
      </c>
      <c r="D141" s="416" t="s">
        <v>1589</v>
      </c>
      <c r="E141" s="417" t="s">
        <v>1398</v>
      </c>
      <c r="F141" s="418">
        <v>11.1</v>
      </c>
      <c r="G141" s="419">
        <v>409.28</v>
      </c>
      <c r="H141" s="418">
        <v>25</v>
      </c>
      <c r="I141" s="419">
        <v>511.6</v>
      </c>
      <c r="J141" s="419">
        <v>5678.76</v>
      </c>
    </row>
    <row r="142" spans="1:10" s="237" customFormat="1" ht="28.5">
      <c r="A142" s="416" t="s">
        <v>1165</v>
      </c>
      <c r="B142" s="417" t="s">
        <v>1019</v>
      </c>
      <c r="C142" s="417" t="s">
        <v>1396</v>
      </c>
      <c r="D142" s="416" t="s">
        <v>274</v>
      </c>
      <c r="E142" s="417" t="s">
        <v>1398</v>
      </c>
      <c r="F142" s="418">
        <v>4.7300000000000004</v>
      </c>
      <c r="G142" s="419">
        <v>107.64</v>
      </c>
      <c r="H142" s="418">
        <v>25</v>
      </c>
      <c r="I142" s="419">
        <v>134.55000000000001</v>
      </c>
      <c r="J142" s="419">
        <v>636.41999999999996</v>
      </c>
    </row>
    <row r="143" spans="1:10" s="237" customFormat="1" ht="15" customHeight="1">
      <c r="A143" s="241" t="s">
        <v>239</v>
      </c>
      <c r="B143" s="242" t="s">
        <v>1590</v>
      </c>
      <c r="C143" s="242"/>
      <c r="D143" s="242"/>
      <c r="E143" s="242"/>
      <c r="F143" s="242"/>
      <c r="G143" s="242"/>
      <c r="H143" s="242"/>
      <c r="I143" s="242"/>
      <c r="J143" s="243">
        <v>200094</v>
      </c>
    </row>
    <row r="144" spans="1:10" s="237" customFormat="1" ht="42.75">
      <c r="A144" s="416" t="s">
        <v>434</v>
      </c>
      <c r="B144" s="417" t="s">
        <v>1591</v>
      </c>
      <c r="C144" s="417" t="s">
        <v>1400</v>
      </c>
      <c r="D144" s="416" t="s">
        <v>1592</v>
      </c>
      <c r="E144" s="417" t="s">
        <v>1398</v>
      </c>
      <c r="F144" s="418">
        <v>5.38</v>
      </c>
      <c r="G144" s="419">
        <v>703.16</v>
      </c>
      <c r="H144" s="418">
        <v>25</v>
      </c>
      <c r="I144" s="419">
        <v>878.95</v>
      </c>
      <c r="J144" s="419">
        <v>4728.75</v>
      </c>
    </row>
    <row r="145" spans="1:10" s="237" customFormat="1" ht="28.5">
      <c r="A145" s="416" t="s">
        <v>435</v>
      </c>
      <c r="B145" s="417" t="s">
        <v>1593</v>
      </c>
      <c r="C145" s="417" t="s">
        <v>1400</v>
      </c>
      <c r="D145" s="416" t="s">
        <v>1594</v>
      </c>
      <c r="E145" s="417" t="s">
        <v>1398</v>
      </c>
      <c r="F145" s="418">
        <v>22.64</v>
      </c>
      <c r="G145" s="419">
        <v>669.75</v>
      </c>
      <c r="H145" s="418">
        <v>25</v>
      </c>
      <c r="I145" s="419">
        <v>837.19</v>
      </c>
      <c r="J145" s="419">
        <v>18953.98</v>
      </c>
    </row>
    <row r="146" spans="1:10" s="237" customFormat="1" ht="57">
      <c r="A146" s="416" t="s">
        <v>436</v>
      </c>
      <c r="B146" s="417" t="s">
        <v>1020</v>
      </c>
      <c r="C146" s="417" t="s">
        <v>1396</v>
      </c>
      <c r="D146" s="416" t="s">
        <v>275</v>
      </c>
      <c r="E146" s="417" t="s">
        <v>1398</v>
      </c>
      <c r="F146" s="418">
        <v>2.1</v>
      </c>
      <c r="G146" s="419">
        <v>967.35</v>
      </c>
      <c r="H146" s="418">
        <v>25</v>
      </c>
      <c r="I146" s="419">
        <v>1209.19</v>
      </c>
      <c r="J146" s="419">
        <v>2539.3000000000002</v>
      </c>
    </row>
    <row r="147" spans="1:10" s="237" customFormat="1" ht="42.75">
      <c r="A147" s="416" t="s">
        <v>437</v>
      </c>
      <c r="B147" s="417" t="s">
        <v>1595</v>
      </c>
      <c r="C147" s="417" t="s">
        <v>1400</v>
      </c>
      <c r="D147" s="416" t="s">
        <v>1596</v>
      </c>
      <c r="E147" s="417" t="s">
        <v>1398</v>
      </c>
      <c r="F147" s="418">
        <v>72.59</v>
      </c>
      <c r="G147" s="419">
        <v>489.49</v>
      </c>
      <c r="H147" s="418">
        <v>25</v>
      </c>
      <c r="I147" s="419">
        <v>611.86</v>
      </c>
      <c r="J147" s="419">
        <v>44414.92</v>
      </c>
    </row>
    <row r="148" spans="1:10" s="237" customFormat="1" ht="28.5">
      <c r="A148" s="416" t="s">
        <v>1148</v>
      </c>
      <c r="B148" s="417" t="s">
        <v>1063</v>
      </c>
      <c r="C148" s="417" t="s">
        <v>1396</v>
      </c>
      <c r="D148" s="416" t="s">
        <v>1597</v>
      </c>
      <c r="E148" s="417" t="s">
        <v>1398</v>
      </c>
      <c r="F148" s="418">
        <v>139.41999999999999</v>
      </c>
      <c r="G148" s="419">
        <v>742.83</v>
      </c>
      <c r="H148" s="418">
        <v>25</v>
      </c>
      <c r="I148" s="419">
        <v>928.54</v>
      </c>
      <c r="J148" s="419">
        <v>129457.05</v>
      </c>
    </row>
    <row r="149" spans="1:10" s="237" customFormat="1" ht="15.75">
      <c r="A149" s="241" t="s">
        <v>1598</v>
      </c>
      <c r="B149" s="242" t="s">
        <v>57</v>
      </c>
      <c r="C149" s="242"/>
      <c r="D149" s="242"/>
      <c r="E149" s="242"/>
      <c r="F149" s="242"/>
      <c r="G149" s="242"/>
      <c r="H149" s="242"/>
      <c r="I149" s="242"/>
      <c r="J149" s="243">
        <v>104566.99</v>
      </c>
    </row>
    <row r="150" spans="1:10" s="237" customFormat="1" ht="57">
      <c r="A150" s="416" t="s">
        <v>438</v>
      </c>
      <c r="B150" s="417" t="s">
        <v>1599</v>
      </c>
      <c r="C150" s="417" t="s">
        <v>1400</v>
      </c>
      <c r="D150" s="416" t="s">
        <v>1600</v>
      </c>
      <c r="E150" s="417" t="s">
        <v>1398</v>
      </c>
      <c r="F150" s="418">
        <v>514.22</v>
      </c>
      <c r="G150" s="419">
        <v>60.95</v>
      </c>
      <c r="H150" s="418">
        <v>25</v>
      </c>
      <c r="I150" s="419">
        <v>76.19</v>
      </c>
      <c r="J150" s="419">
        <v>39178.42</v>
      </c>
    </row>
    <row r="151" spans="1:10" s="237" customFormat="1" ht="57">
      <c r="A151" s="416" t="s">
        <v>439</v>
      </c>
      <c r="B151" s="417" t="s">
        <v>2507</v>
      </c>
      <c r="C151" s="417" t="s">
        <v>1400</v>
      </c>
      <c r="D151" s="416" t="s">
        <v>2515</v>
      </c>
      <c r="E151" s="417" t="s">
        <v>1398</v>
      </c>
      <c r="F151" s="418">
        <v>463.54</v>
      </c>
      <c r="G151" s="419">
        <v>31.26</v>
      </c>
      <c r="H151" s="418">
        <v>25</v>
      </c>
      <c r="I151" s="419">
        <v>39.08</v>
      </c>
      <c r="J151" s="419">
        <v>18115.14</v>
      </c>
    </row>
    <row r="152" spans="1:10" s="237" customFormat="1" ht="28.5">
      <c r="A152" s="416" t="s">
        <v>440</v>
      </c>
      <c r="B152" s="417" t="s">
        <v>1601</v>
      </c>
      <c r="C152" s="417" t="s">
        <v>1396</v>
      </c>
      <c r="D152" s="416" t="s">
        <v>1602</v>
      </c>
      <c r="E152" s="417" t="s">
        <v>1398</v>
      </c>
      <c r="F152" s="418">
        <v>146.94999999999999</v>
      </c>
      <c r="G152" s="419">
        <v>42.72</v>
      </c>
      <c r="H152" s="418">
        <v>25</v>
      </c>
      <c r="I152" s="419">
        <v>53.4</v>
      </c>
      <c r="J152" s="419">
        <v>7847.13</v>
      </c>
    </row>
    <row r="153" spans="1:10" s="237" customFormat="1" ht="28.5">
      <c r="A153" s="416" t="s">
        <v>441</v>
      </c>
      <c r="B153" s="417" t="s">
        <v>1022</v>
      </c>
      <c r="C153" s="417" t="s">
        <v>1396</v>
      </c>
      <c r="D153" s="416" t="s">
        <v>458</v>
      </c>
      <c r="E153" s="417" t="s">
        <v>1398</v>
      </c>
      <c r="F153" s="418">
        <v>337.79</v>
      </c>
      <c r="G153" s="419">
        <v>74.05</v>
      </c>
      <c r="H153" s="418">
        <v>25</v>
      </c>
      <c r="I153" s="419">
        <v>92.56</v>
      </c>
      <c r="J153" s="419">
        <v>31265.84</v>
      </c>
    </row>
    <row r="154" spans="1:10" s="237" customFormat="1" ht="28.5">
      <c r="A154" s="416" t="s">
        <v>442</v>
      </c>
      <c r="B154" s="417" t="s">
        <v>1603</v>
      </c>
      <c r="C154" s="417" t="s">
        <v>1400</v>
      </c>
      <c r="D154" s="416" t="s">
        <v>1604</v>
      </c>
      <c r="E154" s="417" t="s">
        <v>1398</v>
      </c>
      <c r="F154" s="418">
        <v>270.23</v>
      </c>
      <c r="G154" s="419">
        <v>13.96</v>
      </c>
      <c r="H154" s="418">
        <v>25</v>
      </c>
      <c r="I154" s="419">
        <v>17.45</v>
      </c>
      <c r="J154" s="419">
        <v>4715.51</v>
      </c>
    </row>
    <row r="155" spans="1:10" s="237" customFormat="1" ht="42.75">
      <c r="A155" s="416" t="s">
        <v>443</v>
      </c>
      <c r="B155" s="417" t="s">
        <v>1605</v>
      </c>
      <c r="C155" s="417" t="s">
        <v>1400</v>
      </c>
      <c r="D155" s="416" t="s">
        <v>1606</v>
      </c>
      <c r="E155" s="417" t="s">
        <v>1398</v>
      </c>
      <c r="F155" s="418">
        <v>12.92</v>
      </c>
      <c r="G155" s="419">
        <v>97.4</v>
      </c>
      <c r="H155" s="418">
        <v>25</v>
      </c>
      <c r="I155" s="419">
        <v>121.75</v>
      </c>
      <c r="J155" s="419">
        <v>1573.01</v>
      </c>
    </row>
    <row r="156" spans="1:10" s="237" customFormat="1" ht="28.5">
      <c r="A156" s="416" t="s">
        <v>903</v>
      </c>
      <c r="B156" s="417" t="s">
        <v>1607</v>
      </c>
      <c r="C156" s="417" t="s">
        <v>1400</v>
      </c>
      <c r="D156" s="416" t="s">
        <v>1608</v>
      </c>
      <c r="E156" s="417" t="s">
        <v>1398</v>
      </c>
      <c r="F156" s="418">
        <v>13.38</v>
      </c>
      <c r="G156" s="419">
        <v>77.650000000000006</v>
      </c>
      <c r="H156" s="418">
        <v>25</v>
      </c>
      <c r="I156" s="419">
        <v>97.06</v>
      </c>
      <c r="J156" s="419">
        <v>1298.6600000000001</v>
      </c>
    </row>
    <row r="157" spans="1:10" s="237" customFormat="1" ht="28.5">
      <c r="A157" s="416" t="s">
        <v>2511</v>
      </c>
      <c r="B157" s="417" t="s">
        <v>1609</v>
      </c>
      <c r="C157" s="417" t="s">
        <v>1400</v>
      </c>
      <c r="D157" s="416" t="s">
        <v>1610</v>
      </c>
      <c r="E157" s="417" t="s">
        <v>1416</v>
      </c>
      <c r="F157" s="418">
        <v>234.95</v>
      </c>
      <c r="G157" s="419">
        <v>1.95</v>
      </c>
      <c r="H157" s="418">
        <v>25</v>
      </c>
      <c r="I157" s="419">
        <v>2.44</v>
      </c>
      <c r="J157" s="419">
        <v>573.28</v>
      </c>
    </row>
    <row r="158" spans="1:10" s="237" customFormat="1" ht="15" customHeight="1">
      <c r="A158" s="241" t="s">
        <v>1611</v>
      </c>
      <c r="B158" s="242" t="s">
        <v>58</v>
      </c>
      <c r="C158" s="242"/>
      <c r="D158" s="242"/>
      <c r="E158" s="242"/>
      <c r="F158" s="242"/>
      <c r="G158" s="242"/>
      <c r="H158" s="242"/>
      <c r="I158" s="242"/>
      <c r="J158" s="243">
        <v>111850.49</v>
      </c>
    </row>
    <row r="159" spans="1:10" s="237" customFormat="1" ht="28.5">
      <c r="A159" s="416" t="s">
        <v>507</v>
      </c>
      <c r="B159" s="417" t="s">
        <v>1612</v>
      </c>
      <c r="C159" s="417" t="s">
        <v>1400</v>
      </c>
      <c r="D159" s="416" t="s">
        <v>1613</v>
      </c>
      <c r="E159" s="417" t="s">
        <v>1416</v>
      </c>
      <c r="F159" s="418">
        <v>314.14</v>
      </c>
      <c r="G159" s="419">
        <v>6.12</v>
      </c>
      <c r="H159" s="418">
        <v>25</v>
      </c>
      <c r="I159" s="419">
        <v>7.65</v>
      </c>
      <c r="J159" s="419">
        <v>2403.17</v>
      </c>
    </row>
    <row r="160" spans="1:10" s="237" customFormat="1" ht="28.5">
      <c r="A160" s="416" t="s">
        <v>509</v>
      </c>
      <c r="B160" s="417" t="s">
        <v>1614</v>
      </c>
      <c r="C160" s="417" t="s">
        <v>1400</v>
      </c>
      <c r="D160" s="416" t="s">
        <v>1615</v>
      </c>
      <c r="E160" s="417" t="s">
        <v>1416</v>
      </c>
      <c r="F160" s="418">
        <v>72.819999999999993</v>
      </c>
      <c r="G160" s="419">
        <v>12.06</v>
      </c>
      <c r="H160" s="418">
        <v>25</v>
      </c>
      <c r="I160" s="419">
        <v>15.08</v>
      </c>
      <c r="J160" s="419">
        <v>1098.1300000000001</v>
      </c>
    </row>
    <row r="161" spans="1:10" s="237" customFormat="1" ht="28.5">
      <c r="A161" s="416" t="s">
        <v>511</v>
      </c>
      <c r="B161" s="417" t="s">
        <v>1616</v>
      </c>
      <c r="C161" s="417" t="s">
        <v>1400</v>
      </c>
      <c r="D161" s="416" t="s">
        <v>1617</v>
      </c>
      <c r="E161" s="417" t="s">
        <v>1416</v>
      </c>
      <c r="F161" s="418">
        <v>60.35</v>
      </c>
      <c r="G161" s="419">
        <v>18.37</v>
      </c>
      <c r="H161" s="418">
        <v>25</v>
      </c>
      <c r="I161" s="419">
        <v>22.96</v>
      </c>
      <c r="J161" s="419">
        <v>1385.64</v>
      </c>
    </row>
    <row r="162" spans="1:10" s="237" customFormat="1" ht="28.5">
      <c r="A162" s="416" t="s">
        <v>513</v>
      </c>
      <c r="B162" s="417" t="s">
        <v>1618</v>
      </c>
      <c r="C162" s="417" t="s">
        <v>1400</v>
      </c>
      <c r="D162" s="416" t="s">
        <v>1619</v>
      </c>
      <c r="E162" s="417" t="s">
        <v>1416</v>
      </c>
      <c r="F162" s="418">
        <v>41.91</v>
      </c>
      <c r="G162" s="419">
        <v>20.36</v>
      </c>
      <c r="H162" s="418">
        <v>25</v>
      </c>
      <c r="I162" s="419">
        <v>25.45</v>
      </c>
      <c r="J162" s="419">
        <v>1066.6099999999999</v>
      </c>
    </row>
    <row r="163" spans="1:10" s="237" customFormat="1" ht="28.5">
      <c r="A163" s="416" t="s">
        <v>515</v>
      </c>
      <c r="B163" s="417" t="s">
        <v>1620</v>
      </c>
      <c r="C163" s="417" t="s">
        <v>1400</v>
      </c>
      <c r="D163" s="416" t="s">
        <v>1621</v>
      </c>
      <c r="E163" s="417" t="s">
        <v>1416</v>
      </c>
      <c r="F163" s="418">
        <v>20.67</v>
      </c>
      <c r="G163" s="419">
        <v>32.47</v>
      </c>
      <c r="H163" s="418">
        <v>25</v>
      </c>
      <c r="I163" s="419">
        <v>40.590000000000003</v>
      </c>
      <c r="J163" s="419">
        <v>839</v>
      </c>
    </row>
    <row r="164" spans="1:10" s="237" customFormat="1" ht="28.5">
      <c r="A164" s="416" t="s">
        <v>517</v>
      </c>
      <c r="B164" s="417" t="s">
        <v>1622</v>
      </c>
      <c r="C164" s="417" t="s">
        <v>1400</v>
      </c>
      <c r="D164" s="416" t="s">
        <v>1623</v>
      </c>
      <c r="E164" s="417" t="s">
        <v>1416</v>
      </c>
      <c r="F164" s="418">
        <v>43.84</v>
      </c>
      <c r="G164" s="419">
        <v>52.72</v>
      </c>
      <c r="H164" s="418">
        <v>25</v>
      </c>
      <c r="I164" s="419">
        <v>65.900000000000006</v>
      </c>
      <c r="J164" s="419">
        <v>2889.06</v>
      </c>
    </row>
    <row r="165" spans="1:10" s="237" customFormat="1" ht="42.75">
      <c r="A165" s="416" t="s">
        <v>519</v>
      </c>
      <c r="B165" s="417" t="s">
        <v>1023</v>
      </c>
      <c r="C165" s="417" t="s">
        <v>1396</v>
      </c>
      <c r="D165" s="416" t="s">
        <v>520</v>
      </c>
      <c r="E165" s="417" t="s">
        <v>1416</v>
      </c>
      <c r="F165" s="418">
        <v>11.08</v>
      </c>
      <c r="G165" s="419">
        <v>43.2</v>
      </c>
      <c r="H165" s="418">
        <v>25</v>
      </c>
      <c r="I165" s="419">
        <v>54</v>
      </c>
      <c r="J165" s="419">
        <v>598.32000000000005</v>
      </c>
    </row>
    <row r="166" spans="1:10" s="237" customFormat="1" ht="42.75">
      <c r="A166" s="416" t="s">
        <v>521</v>
      </c>
      <c r="B166" s="417" t="s">
        <v>1024</v>
      </c>
      <c r="C166" s="417" t="s">
        <v>1396</v>
      </c>
      <c r="D166" s="416" t="s">
        <v>1624</v>
      </c>
      <c r="E166" s="417" t="s">
        <v>1416</v>
      </c>
      <c r="F166" s="418">
        <v>2.5499999999999998</v>
      </c>
      <c r="G166" s="419">
        <v>46.3</v>
      </c>
      <c r="H166" s="418">
        <v>25</v>
      </c>
      <c r="I166" s="419">
        <v>57.88</v>
      </c>
      <c r="J166" s="419">
        <v>147.59</v>
      </c>
    </row>
    <row r="167" spans="1:10" s="237" customFormat="1" ht="42.75">
      <c r="A167" s="416" t="s">
        <v>523</v>
      </c>
      <c r="B167" s="417" t="s">
        <v>1625</v>
      </c>
      <c r="C167" s="417" t="s">
        <v>1400</v>
      </c>
      <c r="D167" s="416" t="s">
        <v>1626</v>
      </c>
      <c r="E167" s="417" t="s">
        <v>1403</v>
      </c>
      <c r="F167" s="418">
        <v>37</v>
      </c>
      <c r="G167" s="419">
        <v>16.149999999999999</v>
      </c>
      <c r="H167" s="418">
        <v>25</v>
      </c>
      <c r="I167" s="419">
        <v>20.190000000000001</v>
      </c>
      <c r="J167" s="419">
        <v>747.03</v>
      </c>
    </row>
    <row r="168" spans="1:10" s="237" customFormat="1" ht="42.75">
      <c r="A168" s="416" t="s">
        <v>526</v>
      </c>
      <c r="B168" s="417" t="s">
        <v>1627</v>
      </c>
      <c r="C168" s="417" t="s">
        <v>1400</v>
      </c>
      <c r="D168" s="416" t="s">
        <v>1628</v>
      </c>
      <c r="E168" s="417" t="s">
        <v>1403</v>
      </c>
      <c r="F168" s="418">
        <v>10</v>
      </c>
      <c r="G168" s="419">
        <v>20.43</v>
      </c>
      <c r="H168" s="418">
        <v>25</v>
      </c>
      <c r="I168" s="419">
        <v>25.54</v>
      </c>
      <c r="J168" s="419">
        <v>255.4</v>
      </c>
    </row>
    <row r="169" spans="1:10" s="237" customFormat="1" ht="42.75">
      <c r="A169" s="416" t="s">
        <v>527</v>
      </c>
      <c r="B169" s="417" t="s">
        <v>1629</v>
      </c>
      <c r="C169" s="417" t="s">
        <v>1400</v>
      </c>
      <c r="D169" s="416" t="s">
        <v>1630</v>
      </c>
      <c r="E169" s="417" t="s">
        <v>1403</v>
      </c>
      <c r="F169" s="418">
        <v>3</v>
      </c>
      <c r="G169" s="419">
        <v>41.91</v>
      </c>
      <c r="H169" s="418">
        <v>25</v>
      </c>
      <c r="I169" s="419">
        <v>52.39</v>
      </c>
      <c r="J169" s="419">
        <v>157.16999999999999</v>
      </c>
    </row>
    <row r="170" spans="1:10" s="237" customFormat="1" ht="42.75">
      <c r="A170" s="416" t="s">
        <v>529</v>
      </c>
      <c r="B170" s="417" t="s">
        <v>1631</v>
      </c>
      <c r="C170" s="417" t="s">
        <v>1400</v>
      </c>
      <c r="D170" s="416" t="s">
        <v>1632</v>
      </c>
      <c r="E170" s="417" t="s">
        <v>1403</v>
      </c>
      <c r="F170" s="418">
        <v>4</v>
      </c>
      <c r="G170" s="419">
        <v>67.38</v>
      </c>
      <c r="H170" s="418">
        <v>25</v>
      </c>
      <c r="I170" s="419">
        <v>84.23</v>
      </c>
      <c r="J170" s="419">
        <v>336.92</v>
      </c>
    </row>
    <row r="171" spans="1:10" s="237" customFormat="1" ht="28.5">
      <c r="A171" s="416" t="s">
        <v>530</v>
      </c>
      <c r="B171" s="417" t="s">
        <v>1633</v>
      </c>
      <c r="C171" s="417" t="s">
        <v>1400</v>
      </c>
      <c r="D171" s="416" t="s">
        <v>1634</v>
      </c>
      <c r="E171" s="417" t="s">
        <v>1403</v>
      </c>
      <c r="F171" s="418">
        <v>3</v>
      </c>
      <c r="G171" s="419">
        <v>9.01</v>
      </c>
      <c r="H171" s="418">
        <v>25</v>
      </c>
      <c r="I171" s="419">
        <v>11.26</v>
      </c>
      <c r="J171" s="419">
        <v>33.78</v>
      </c>
    </row>
    <row r="172" spans="1:10" s="237" customFormat="1" ht="28.5">
      <c r="A172" s="416" t="s">
        <v>532</v>
      </c>
      <c r="B172" s="417" t="s">
        <v>1635</v>
      </c>
      <c r="C172" s="417" t="s">
        <v>1400</v>
      </c>
      <c r="D172" s="416" t="s">
        <v>1636</v>
      </c>
      <c r="E172" s="417" t="s">
        <v>1403</v>
      </c>
      <c r="F172" s="418">
        <v>7</v>
      </c>
      <c r="G172" s="419">
        <v>13.84</v>
      </c>
      <c r="H172" s="418">
        <v>25</v>
      </c>
      <c r="I172" s="419">
        <v>17.3</v>
      </c>
      <c r="J172" s="419">
        <v>121.1</v>
      </c>
    </row>
    <row r="173" spans="1:10" s="237" customFormat="1" ht="42.75">
      <c r="A173" s="416" t="s">
        <v>534</v>
      </c>
      <c r="B173" s="417" t="s">
        <v>1637</v>
      </c>
      <c r="C173" s="417" t="s">
        <v>1400</v>
      </c>
      <c r="D173" s="416" t="s">
        <v>1638</v>
      </c>
      <c r="E173" s="417" t="s">
        <v>1403</v>
      </c>
      <c r="F173" s="418">
        <v>4</v>
      </c>
      <c r="G173" s="419">
        <v>29.65</v>
      </c>
      <c r="H173" s="418">
        <v>25</v>
      </c>
      <c r="I173" s="419">
        <v>37.06</v>
      </c>
      <c r="J173" s="419">
        <v>148.24</v>
      </c>
    </row>
    <row r="174" spans="1:10" s="237" customFormat="1" ht="28.5">
      <c r="A174" s="416" t="s">
        <v>536</v>
      </c>
      <c r="B174" s="417" t="s">
        <v>1639</v>
      </c>
      <c r="C174" s="417" t="s">
        <v>1400</v>
      </c>
      <c r="D174" s="416" t="s">
        <v>1640</v>
      </c>
      <c r="E174" s="417" t="s">
        <v>1403</v>
      </c>
      <c r="F174" s="418">
        <v>3</v>
      </c>
      <c r="G174" s="419">
        <v>25.89</v>
      </c>
      <c r="H174" s="418">
        <v>25</v>
      </c>
      <c r="I174" s="419">
        <v>32.36</v>
      </c>
      <c r="J174" s="419">
        <v>97.08</v>
      </c>
    </row>
    <row r="175" spans="1:10" s="237" customFormat="1" ht="28.5">
      <c r="A175" s="416" t="s">
        <v>538</v>
      </c>
      <c r="B175" s="417" t="s">
        <v>1641</v>
      </c>
      <c r="C175" s="417" t="s">
        <v>1400</v>
      </c>
      <c r="D175" s="416" t="s">
        <v>1642</v>
      </c>
      <c r="E175" s="417" t="s">
        <v>1403</v>
      </c>
      <c r="F175" s="418">
        <v>1</v>
      </c>
      <c r="G175" s="419">
        <v>88.54</v>
      </c>
      <c r="H175" s="418">
        <v>25</v>
      </c>
      <c r="I175" s="419">
        <v>110.68</v>
      </c>
      <c r="J175" s="419">
        <v>110.68</v>
      </c>
    </row>
    <row r="176" spans="1:10" s="237" customFormat="1" ht="42.75">
      <c r="A176" s="416" t="s">
        <v>540</v>
      </c>
      <c r="B176" s="417" t="s">
        <v>1643</v>
      </c>
      <c r="C176" s="417" t="s">
        <v>1400</v>
      </c>
      <c r="D176" s="416" t="s">
        <v>1644</v>
      </c>
      <c r="E176" s="417" t="s">
        <v>1403</v>
      </c>
      <c r="F176" s="418">
        <v>17</v>
      </c>
      <c r="G176" s="419">
        <v>25.92</v>
      </c>
      <c r="H176" s="418">
        <v>25</v>
      </c>
      <c r="I176" s="419">
        <v>32.4</v>
      </c>
      <c r="J176" s="419">
        <v>550.79999999999995</v>
      </c>
    </row>
    <row r="177" spans="1:10" s="237" customFormat="1" ht="42.75">
      <c r="A177" s="416" t="s">
        <v>542</v>
      </c>
      <c r="B177" s="417" t="s">
        <v>1645</v>
      </c>
      <c r="C177" s="417" t="s">
        <v>1400</v>
      </c>
      <c r="D177" s="416" t="s">
        <v>1646</v>
      </c>
      <c r="E177" s="417" t="s">
        <v>1403</v>
      </c>
      <c r="F177" s="418">
        <v>1</v>
      </c>
      <c r="G177" s="419">
        <v>28.87</v>
      </c>
      <c r="H177" s="418">
        <v>25</v>
      </c>
      <c r="I177" s="419">
        <v>36.090000000000003</v>
      </c>
      <c r="J177" s="419">
        <v>36.090000000000003</v>
      </c>
    </row>
    <row r="178" spans="1:10" s="237" customFormat="1" ht="42.75">
      <c r="A178" s="416" t="s">
        <v>543</v>
      </c>
      <c r="B178" s="417" t="s">
        <v>1025</v>
      </c>
      <c r="C178" s="417" t="s">
        <v>1396</v>
      </c>
      <c r="D178" s="416" t="s">
        <v>541</v>
      </c>
      <c r="E178" s="417" t="s">
        <v>1403</v>
      </c>
      <c r="F178" s="418">
        <v>1</v>
      </c>
      <c r="G178" s="419">
        <v>53.17</v>
      </c>
      <c r="H178" s="418">
        <v>25</v>
      </c>
      <c r="I178" s="419">
        <v>66.459999999999994</v>
      </c>
      <c r="J178" s="419">
        <v>66.459999999999994</v>
      </c>
    </row>
    <row r="179" spans="1:10" s="237" customFormat="1" ht="42.75">
      <c r="A179" s="416" t="s">
        <v>545</v>
      </c>
      <c r="B179" s="417" t="s">
        <v>1647</v>
      </c>
      <c r="C179" s="417" t="s">
        <v>1400</v>
      </c>
      <c r="D179" s="416" t="s">
        <v>1648</v>
      </c>
      <c r="E179" s="417" t="s">
        <v>1403</v>
      </c>
      <c r="F179" s="418">
        <v>1</v>
      </c>
      <c r="G179" s="419">
        <v>87.06</v>
      </c>
      <c r="H179" s="418">
        <v>25</v>
      </c>
      <c r="I179" s="419">
        <v>108.83</v>
      </c>
      <c r="J179" s="419">
        <v>108.83</v>
      </c>
    </row>
    <row r="180" spans="1:10" s="237" customFormat="1" ht="57">
      <c r="A180" s="416" t="s">
        <v>547</v>
      </c>
      <c r="B180" s="417" t="s">
        <v>1026</v>
      </c>
      <c r="C180" s="417" t="s">
        <v>1396</v>
      </c>
      <c r="D180" s="416" t="s">
        <v>1649</v>
      </c>
      <c r="E180" s="417" t="s">
        <v>1403</v>
      </c>
      <c r="F180" s="418">
        <v>1</v>
      </c>
      <c r="G180" s="419">
        <v>45.36</v>
      </c>
      <c r="H180" s="418">
        <v>25</v>
      </c>
      <c r="I180" s="419">
        <v>56.7</v>
      </c>
      <c r="J180" s="419">
        <v>56.7</v>
      </c>
    </row>
    <row r="181" spans="1:10" s="237" customFormat="1" ht="57">
      <c r="A181" s="416" t="s">
        <v>548</v>
      </c>
      <c r="B181" s="417" t="s">
        <v>1109</v>
      </c>
      <c r="C181" s="417" t="s">
        <v>1396</v>
      </c>
      <c r="D181" s="416" t="s">
        <v>1650</v>
      </c>
      <c r="E181" s="417" t="s">
        <v>1403</v>
      </c>
      <c r="F181" s="418">
        <v>2</v>
      </c>
      <c r="G181" s="419">
        <v>51.08</v>
      </c>
      <c r="H181" s="418">
        <v>25</v>
      </c>
      <c r="I181" s="419">
        <v>63.85</v>
      </c>
      <c r="J181" s="419">
        <v>127.7</v>
      </c>
    </row>
    <row r="182" spans="1:10" s="237" customFormat="1" ht="42.75">
      <c r="A182" s="416" t="s">
        <v>550</v>
      </c>
      <c r="B182" s="417" t="s">
        <v>674</v>
      </c>
      <c r="C182" s="417" t="s">
        <v>1400</v>
      </c>
      <c r="D182" s="416" t="s">
        <v>1651</v>
      </c>
      <c r="E182" s="417" t="s">
        <v>1403</v>
      </c>
      <c r="F182" s="418">
        <v>125</v>
      </c>
      <c r="G182" s="419">
        <v>6.42</v>
      </c>
      <c r="H182" s="418">
        <v>25</v>
      </c>
      <c r="I182" s="419">
        <v>8.0299999999999994</v>
      </c>
      <c r="J182" s="419">
        <v>1003.75</v>
      </c>
    </row>
    <row r="183" spans="1:10" s="237" customFormat="1" ht="42.75">
      <c r="A183" s="416" t="s">
        <v>552</v>
      </c>
      <c r="B183" s="417" t="s">
        <v>1652</v>
      </c>
      <c r="C183" s="417" t="s">
        <v>1400</v>
      </c>
      <c r="D183" s="416" t="s">
        <v>1653</v>
      </c>
      <c r="E183" s="417" t="s">
        <v>1403</v>
      </c>
      <c r="F183" s="418">
        <v>20</v>
      </c>
      <c r="G183" s="419">
        <v>15.86</v>
      </c>
      <c r="H183" s="418">
        <v>25</v>
      </c>
      <c r="I183" s="419">
        <v>19.829999999999998</v>
      </c>
      <c r="J183" s="419">
        <v>396.6</v>
      </c>
    </row>
    <row r="184" spans="1:10" s="237" customFormat="1" ht="42.75">
      <c r="A184" s="416" t="s">
        <v>554</v>
      </c>
      <c r="B184" s="417" t="s">
        <v>1654</v>
      </c>
      <c r="C184" s="417" t="s">
        <v>1400</v>
      </c>
      <c r="D184" s="416" t="s">
        <v>1655</v>
      </c>
      <c r="E184" s="417" t="s">
        <v>1403</v>
      </c>
      <c r="F184" s="418">
        <v>12</v>
      </c>
      <c r="G184" s="419">
        <v>20.86</v>
      </c>
      <c r="H184" s="418">
        <v>25</v>
      </c>
      <c r="I184" s="419">
        <v>26.08</v>
      </c>
      <c r="J184" s="419">
        <v>312.95999999999998</v>
      </c>
    </row>
    <row r="185" spans="1:10" s="237" customFormat="1" ht="42.75">
      <c r="A185" s="416" t="s">
        <v>556</v>
      </c>
      <c r="B185" s="417" t="s">
        <v>1656</v>
      </c>
      <c r="C185" s="417" t="s">
        <v>1400</v>
      </c>
      <c r="D185" s="416" t="s">
        <v>1657</v>
      </c>
      <c r="E185" s="417" t="s">
        <v>1403</v>
      </c>
      <c r="F185" s="418">
        <v>7</v>
      </c>
      <c r="G185" s="419">
        <v>16.54</v>
      </c>
      <c r="H185" s="418">
        <v>25</v>
      </c>
      <c r="I185" s="419">
        <v>20.68</v>
      </c>
      <c r="J185" s="419">
        <v>144.76</v>
      </c>
    </row>
    <row r="186" spans="1:10" s="237" customFormat="1" ht="42.75">
      <c r="A186" s="416" t="s">
        <v>558</v>
      </c>
      <c r="B186" s="417" t="s">
        <v>1658</v>
      </c>
      <c r="C186" s="417" t="s">
        <v>1400</v>
      </c>
      <c r="D186" s="416" t="s">
        <v>1659</v>
      </c>
      <c r="E186" s="417" t="s">
        <v>1403</v>
      </c>
      <c r="F186" s="418">
        <v>2</v>
      </c>
      <c r="G186" s="419">
        <v>45.84</v>
      </c>
      <c r="H186" s="418">
        <v>25</v>
      </c>
      <c r="I186" s="419">
        <v>57.3</v>
      </c>
      <c r="J186" s="419">
        <v>114.6</v>
      </c>
    </row>
    <row r="187" spans="1:10" s="237" customFormat="1" ht="42.75">
      <c r="A187" s="416" t="s">
        <v>560</v>
      </c>
      <c r="B187" s="417" t="s">
        <v>1660</v>
      </c>
      <c r="C187" s="417" t="s">
        <v>1400</v>
      </c>
      <c r="D187" s="416" t="s">
        <v>1661</v>
      </c>
      <c r="E187" s="417" t="s">
        <v>1403</v>
      </c>
      <c r="F187" s="418">
        <v>6</v>
      </c>
      <c r="G187" s="419">
        <v>113.2</v>
      </c>
      <c r="H187" s="418">
        <v>25</v>
      </c>
      <c r="I187" s="419">
        <v>141.5</v>
      </c>
      <c r="J187" s="419">
        <v>849</v>
      </c>
    </row>
    <row r="188" spans="1:10" s="237" customFormat="1" ht="42.75">
      <c r="A188" s="416" t="s">
        <v>562</v>
      </c>
      <c r="B188" s="417" t="s">
        <v>1662</v>
      </c>
      <c r="C188" s="417" t="s">
        <v>1400</v>
      </c>
      <c r="D188" s="416" t="s">
        <v>1663</v>
      </c>
      <c r="E188" s="417" t="s">
        <v>1403</v>
      </c>
      <c r="F188" s="418">
        <v>70</v>
      </c>
      <c r="G188" s="419">
        <v>19.100000000000001</v>
      </c>
      <c r="H188" s="418">
        <v>25</v>
      </c>
      <c r="I188" s="419">
        <v>23.88</v>
      </c>
      <c r="J188" s="419">
        <v>1671.6</v>
      </c>
    </row>
    <row r="189" spans="1:10" s="237" customFormat="1" ht="42.75">
      <c r="A189" s="416" t="s">
        <v>564</v>
      </c>
      <c r="B189" s="417" t="s">
        <v>1664</v>
      </c>
      <c r="C189" s="417" t="s">
        <v>1400</v>
      </c>
      <c r="D189" s="416" t="s">
        <v>1665</v>
      </c>
      <c r="E189" s="417" t="s">
        <v>1403</v>
      </c>
      <c r="F189" s="418">
        <v>9</v>
      </c>
      <c r="G189" s="419">
        <v>14.39</v>
      </c>
      <c r="H189" s="418">
        <v>25</v>
      </c>
      <c r="I189" s="419">
        <v>17.989999999999998</v>
      </c>
      <c r="J189" s="419">
        <v>161.91</v>
      </c>
    </row>
    <row r="190" spans="1:10" s="237" customFormat="1" ht="42.75">
      <c r="A190" s="416" t="s">
        <v>566</v>
      </c>
      <c r="B190" s="417" t="s">
        <v>1666</v>
      </c>
      <c r="C190" s="417" t="s">
        <v>1400</v>
      </c>
      <c r="D190" s="416" t="s">
        <v>1667</v>
      </c>
      <c r="E190" s="417" t="s">
        <v>1403</v>
      </c>
      <c r="F190" s="418">
        <v>2</v>
      </c>
      <c r="G190" s="419">
        <v>8.7200000000000006</v>
      </c>
      <c r="H190" s="418">
        <v>25</v>
      </c>
      <c r="I190" s="419">
        <v>10.9</v>
      </c>
      <c r="J190" s="419">
        <v>21.8</v>
      </c>
    </row>
    <row r="191" spans="1:10" s="237" customFormat="1" ht="28.5">
      <c r="A191" s="416" t="s">
        <v>567</v>
      </c>
      <c r="B191" s="417" t="s">
        <v>1668</v>
      </c>
      <c r="C191" s="417" t="s">
        <v>1400</v>
      </c>
      <c r="D191" s="416" t="s">
        <v>1669</v>
      </c>
      <c r="E191" s="417" t="s">
        <v>1403</v>
      </c>
      <c r="F191" s="418">
        <v>1</v>
      </c>
      <c r="G191" s="419">
        <v>13.06</v>
      </c>
      <c r="H191" s="418">
        <v>25</v>
      </c>
      <c r="I191" s="419">
        <v>16.329999999999998</v>
      </c>
      <c r="J191" s="419">
        <v>16.329999999999998</v>
      </c>
    </row>
    <row r="192" spans="1:10" s="237" customFormat="1" ht="42.75">
      <c r="A192" s="416" t="s">
        <v>569</v>
      </c>
      <c r="B192" s="417" t="s">
        <v>1670</v>
      </c>
      <c r="C192" s="417" t="s">
        <v>1400</v>
      </c>
      <c r="D192" s="416" t="s">
        <v>565</v>
      </c>
      <c r="E192" s="417" t="s">
        <v>1403</v>
      </c>
      <c r="F192" s="418">
        <v>2</v>
      </c>
      <c r="G192" s="419">
        <v>54.66</v>
      </c>
      <c r="H192" s="418">
        <v>25</v>
      </c>
      <c r="I192" s="419">
        <v>68.33</v>
      </c>
      <c r="J192" s="419">
        <v>136.66</v>
      </c>
    </row>
    <row r="193" spans="1:10" s="237" customFormat="1" ht="42.75">
      <c r="A193" s="416" t="s">
        <v>571</v>
      </c>
      <c r="B193" s="417" t="s">
        <v>1671</v>
      </c>
      <c r="C193" s="417" t="s">
        <v>1400</v>
      </c>
      <c r="D193" s="416" t="s">
        <v>1672</v>
      </c>
      <c r="E193" s="417" t="s">
        <v>1403</v>
      </c>
      <c r="F193" s="418">
        <v>2</v>
      </c>
      <c r="G193" s="419">
        <v>68.25</v>
      </c>
      <c r="H193" s="418">
        <v>25</v>
      </c>
      <c r="I193" s="419">
        <v>85.31</v>
      </c>
      <c r="J193" s="419">
        <v>170.62</v>
      </c>
    </row>
    <row r="194" spans="1:10" s="237" customFormat="1" ht="57">
      <c r="A194" s="416" t="s">
        <v>573</v>
      </c>
      <c r="B194" s="417" t="s">
        <v>1673</v>
      </c>
      <c r="C194" s="417" t="s">
        <v>1400</v>
      </c>
      <c r="D194" s="416" t="s">
        <v>1674</v>
      </c>
      <c r="E194" s="417" t="s">
        <v>1403</v>
      </c>
      <c r="F194" s="418">
        <v>2</v>
      </c>
      <c r="G194" s="419">
        <v>8.02</v>
      </c>
      <c r="H194" s="418">
        <v>25</v>
      </c>
      <c r="I194" s="419">
        <v>10.029999999999999</v>
      </c>
      <c r="J194" s="419">
        <v>20.059999999999999</v>
      </c>
    </row>
    <row r="195" spans="1:10" s="237" customFormat="1" ht="42.75">
      <c r="A195" s="416" t="s">
        <v>575</v>
      </c>
      <c r="B195" s="417" t="s">
        <v>1675</v>
      </c>
      <c r="C195" s="417" t="s">
        <v>1400</v>
      </c>
      <c r="D195" s="416" t="s">
        <v>1676</v>
      </c>
      <c r="E195" s="417" t="s">
        <v>1403</v>
      </c>
      <c r="F195" s="418">
        <v>20</v>
      </c>
      <c r="G195" s="419">
        <v>10.46</v>
      </c>
      <c r="H195" s="418">
        <v>25</v>
      </c>
      <c r="I195" s="419">
        <v>13.08</v>
      </c>
      <c r="J195" s="419">
        <v>261.60000000000002</v>
      </c>
    </row>
    <row r="196" spans="1:10" s="237" customFormat="1" ht="71.25">
      <c r="A196" s="416" t="s">
        <v>577</v>
      </c>
      <c r="B196" s="417" t="s">
        <v>1677</v>
      </c>
      <c r="C196" s="417" t="s">
        <v>1400</v>
      </c>
      <c r="D196" s="416" t="s">
        <v>1678</v>
      </c>
      <c r="E196" s="417" t="s">
        <v>1403</v>
      </c>
      <c r="F196" s="418">
        <v>8</v>
      </c>
      <c r="G196" s="419">
        <v>14.39</v>
      </c>
      <c r="H196" s="418">
        <v>25</v>
      </c>
      <c r="I196" s="419">
        <v>17.989999999999998</v>
      </c>
      <c r="J196" s="419">
        <v>143.91999999999999</v>
      </c>
    </row>
    <row r="197" spans="1:10" s="237" customFormat="1" ht="42.75">
      <c r="A197" s="416" t="s">
        <v>579</v>
      </c>
      <c r="B197" s="417" t="s">
        <v>1679</v>
      </c>
      <c r="C197" s="417" t="s">
        <v>1400</v>
      </c>
      <c r="D197" s="416" t="s">
        <v>1680</v>
      </c>
      <c r="E197" s="417" t="s">
        <v>1403</v>
      </c>
      <c r="F197" s="418">
        <v>4</v>
      </c>
      <c r="G197" s="419">
        <v>11.86</v>
      </c>
      <c r="H197" s="418">
        <v>25</v>
      </c>
      <c r="I197" s="419">
        <v>14.83</v>
      </c>
      <c r="J197" s="419">
        <v>59.32</v>
      </c>
    </row>
    <row r="198" spans="1:10" s="237" customFormat="1" ht="42.75">
      <c r="A198" s="416" t="s">
        <v>581</v>
      </c>
      <c r="B198" s="417" t="s">
        <v>1681</v>
      </c>
      <c r="C198" s="417" t="s">
        <v>1400</v>
      </c>
      <c r="D198" s="416" t="s">
        <v>1682</v>
      </c>
      <c r="E198" s="417" t="s">
        <v>1403</v>
      </c>
      <c r="F198" s="418">
        <v>19</v>
      </c>
      <c r="G198" s="419">
        <v>5.7</v>
      </c>
      <c r="H198" s="418">
        <v>25</v>
      </c>
      <c r="I198" s="419">
        <v>7.13</v>
      </c>
      <c r="J198" s="419">
        <v>135.47</v>
      </c>
    </row>
    <row r="199" spans="1:10" s="237" customFormat="1" ht="42.75">
      <c r="A199" s="416" t="s">
        <v>582</v>
      </c>
      <c r="B199" s="417" t="s">
        <v>1683</v>
      </c>
      <c r="C199" s="417" t="s">
        <v>1400</v>
      </c>
      <c r="D199" s="416" t="s">
        <v>1684</v>
      </c>
      <c r="E199" s="417" t="s">
        <v>1403</v>
      </c>
      <c r="F199" s="418">
        <v>11</v>
      </c>
      <c r="G199" s="419">
        <v>8.09</v>
      </c>
      <c r="H199" s="418">
        <v>25</v>
      </c>
      <c r="I199" s="419">
        <v>10.11</v>
      </c>
      <c r="J199" s="419">
        <v>111.21</v>
      </c>
    </row>
    <row r="200" spans="1:10" s="237" customFormat="1" ht="42.75">
      <c r="A200" s="416" t="s">
        <v>584</v>
      </c>
      <c r="B200" s="417" t="s">
        <v>1685</v>
      </c>
      <c r="C200" s="417" t="s">
        <v>1400</v>
      </c>
      <c r="D200" s="416" t="s">
        <v>1686</v>
      </c>
      <c r="E200" s="417" t="s">
        <v>1403</v>
      </c>
      <c r="F200" s="418">
        <v>5</v>
      </c>
      <c r="G200" s="419">
        <v>11.36</v>
      </c>
      <c r="H200" s="418">
        <v>25</v>
      </c>
      <c r="I200" s="419">
        <v>14.2</v>
      </c>
      <c r="J200" s="419">
        <v>71</v>
      </c>
    </row>
    <row r="201" spans="1:10" s="237" customFormat="1" ht="42.75">
      <c r="A201" s="416" t="s">
        <v>586</v>
      </c>
      <c r="B201" s="417" t="s">
        <v>1027</v>
      </c>
      <c r="C201" s="417" t="s">
        <v>1396</v>
      </c>
      <c r="D201" s="416" t="s">
        <v>580</v>
      </c>
      <c r="E201" s="417" t="s">
        <v>1403</v>
      </c>
      <c r="F201" s="418">
        <v>1</v>
      </c>
      <c r="G201" s="419">
        <v>16.84</v>
      </c>
      <c r="H201" s="418">
        <v>25</v>
      </c>
      <c r="I201" s="419">
        <v>21.05</v>
      </c>
      <c r="J201" s="419">
        <v>21.05</v>
      </c>
    </row>
    <row r="202" spans="1:10" s="237" customFormat="1" ht="42.75">
      <c r="A202" s="416" t="s">
        <v>588</v>
      </c>
      <c r="B202" s="417" t="s">
        <v>1687</v>
      </c>
      <c r="C202" s="417" t="s">
        <v>1400</v>
      </c>
      <c r="D202" s="416" t="s">
        <v>1688</v>
      </c>
      <c r="E202" s="417" t="s">
        <v>1403</v>
      </c>
      <c r="F202" s="418">
        <v>1</v>
      </c>
      <c r="G202" s="419">
        <v>31.99</v>
      </c>
      <c r="H202" s="418">
        <v>25</v>
      </c>
      <c r="I202" s="419">
        <v>39.99</v>
      </c>
      <c r="J202" s="419">
        <v>39.99</v>
      </c>
    </row>
    <row r="203" spans="1:10" s="237" customFormat="1" ht="42.75">
      <c r="A203" s="416" t="s">
        <v>590</v>
      </c>
      <c r="B203" s="417" t="s">
        <v>1689</v>
      </c>
      <c r="C203" s="417" t="s">
        <v>1400</v>
      </c>
      <c r="D203" s="416" t="s">
        <v>1690</v>
      </c>
      <c r="E203" s="417" t="s">
        <v>1403</v>
      </c>
      <c r="F203" s="418">
        <v>4</v>
      </c>
      <c r="G203" s="419">
        <v>66.3</v>
      </c>
      <c r="H203" s="418">
        <v>25</v>
      </c>
      <c r="I203" s="419">
        <v>82.88</v>
      </c>
      <c r="J203" s="419">
        <v>331.52</v>
      </c>
    </row>
    <row r="204" spans="1:10" s="237" customFormat="1" ht="42.75">
      <c r="A204" s="416" t="s">
        <v>592</v>
      </c>
      <c r="B204" s="417" t="s">
        <v>1691</v>
      </c>
      <c r="C204" s="417" t="s">
        <v>1400</v>
      </c>
      <c r="D204" s="416" t="s">
        <v>1692</v>
      </c>
      <c r="E204" s="417" t="s">
        <v>1403</v>
      </c>
      <c r="F204" s="418">
        <v>12</v>
      </c>
      <c r="G204" s="419">
        <v>80.45</v>
      </c>
      <c r="H204" s="418">
        <v>25</v>
      </c>
      <c r="I204" s="419">
        <v>100.56</v>
      </c>
      <c r="J204" s="419">
        <v>1206.72</v>
      </c>
    </row>
    <row r="205" spans="1:10" s="237" customFormat="1" ht="42.75">
      <c r="A205" s="416" t="s">
        <v>594</v>
      </c>
      <c r="B205" s="417" t="s">
        <v>1693</v>
      </c>
      <c r="C205" s="417" t="s">
        <v>1400</v>
      </c>
      <c r="D205" s="416" t="s">
        <v>1694</v>
      </c>
      <c r="E205" s="417" t="s">
        <v>1403</v>
      </c>
      <c r="F205" s="418">
        <v>2</v>
      </c>
      <c r="G205" s="419">
        <v>116.81</v>
      </c>
      <c r="H205" s="418">
        <v>25</v>
      </c>
      <c r="I205" s="419">
        <v>146.01</v>
      </c>
      <c r="J205" s="419">
        <v>292.02</v>
      </c>
    </row>
    <row r="206" spans="1:10" s="237" customFormat="1" ht="42.75">
      <c r="A206" s="416" t="s">
        <v>596</v>
      </c>
      <c r="B206" s="417" t="s">
        <v>1695</v>
      </c>
      <c r="C206" s="417" t="s">
        <v>1400</v>
      </c>
      <c r="D206" s="416" t="s">
        <v>1696</v>
      </c>
      <c r="E206" s="417" t="s">
        <v>1403</v>
      </c>
      <c r="F206" s="418">
        <v>4</v>
      </c>
      <c r="G206" s="419">
        <v>108.78</v>
      </c>
      <c r="H206" s="418">
        <v>25</v>
      </c>
      <c r="I206" s="419">
        <v>135.97999999999999</v>
      </c>
      <c r="J206" s="419">
        <v>543.91999999999996</v>
      </c>
    </row>
    <row r="207" spans="1:10" s="237" customFormat="1" ht="28.5">
      <c r="A207" s="416" t="s">
        <v>598</v>
      </c>
      <c r="B207" s="417" t="s">
        <v>1697</v>
      </c>
      <c r="C207" s="417" t="s">
        <v>1400</v>
      </c>
      <c r="D207" s="416" t="s">
        <v>1698</v>
      </c>
      <c r="E207" s="417" t="s">
        <v>1403</v>
      </c>
      <c r="F207" s="418">
        <v>1</v>
      </c>
      <c r="G207" s="419">
        <v>196.73</v>
      </c>
      <c r="H207" s="418">
        <v>25</v>
      </c>
      <c r="I207" s="419">
        <v>245.91</v>
      </c>
      <c r="J207" s="419">
        <v>245.91</v>
      </c>
    </row>
    <row r="208" spans="1:10" s="237" customFormat="1" ht="28.5">
      <c r="A208" s="416" t="s">
        <v>600</v>
      </c>
      <c r="B208" s="417" t="s">
        <v>1699</v>
      </c>
      <c r="C208" s="417" t="s">
        <v>1400</v>
      </c>
      <c r="D208" s="416" t="s">
        <v>1700</v>
      </c>
      <c r="E208" s="417" t="s">
        <v>1403</v>
      </c>
      <c r="F208" s="418">
        <v>1</v>
      </c>
      <c r="G208" s="419">
        <v>39.380000000000003</v>
      </c>
      <c r="H208" s="418">
        <v>25</v>
      </c>
      <c r="I208" s="419">
        <v>49.23</v>
      </c>
      <c r="J208" s="419">
        <v>49.23</v>
      </c>
    </row>
    <row r="209" spans="1:10" s="237" customFormat="1" ht="42.75">
      <c r="A209" s="416" t="s">
        <v>602</v>
      </c>
      <c r="B209" s="417" t="s">
        <v>1701</v>
      </c>
      <c r="C209" s="417" t="s">
        <v>1400</v>
      </c>
      <c r="D209" s="416" t="s">
        <v>1702</v>
      </c>
      <c r="E209" s="417" t="s">
        <v>1403</v>
      </c>
      <c r="F209" s="418">
        <v>8</v>
      </c>
      <c r="G209" s="419">
        <v>63.34</v>
      </c>
      <c r="H209" s="418">
        <v>25</v>
      </c>
      <c r="I209" s="419">
        <v>79.180000000000007</v>
      </c>
      <c r="J209" s="419">
        <v>633.44000000000005</v>
      </c>
    </row>
    <row r="210" spans="1:10" s="237" customFormat="1" ht="28.5">
      <c r="A210" s="416" t="s">
        <v>1337</v>
      </c>
      <c r="B210" s="417" t="s">
        <v>1703</v>
      </c>
      <c r="C210" s="417" t="s">
        <v>1400</v>
      </c>
      <c r="D210" s="416" t="s">
        <v>1704</v>
      </c>
      <c r="E210" s="417" t="s">
        <v>1403</v>
      </c>
      <c r="F210" s="418">
        <v>1</v>
      </c>
      <c r="G210" s="419">
        <v>82.95</v>
      </c>
      <c r="H210" s="418">
        <v>25</v>
      </c>
      <c r="I210" s="419">
        <v>103.69</v>
      </c>
      <c r="J210" s="419">
        <v>103.69</v>
      </c>
    </row>
    <row r="211" spans="1:10" s="237" customFormat="1" ht="42.75">
      <c r="A211" s="416" t="s">
        <v>1338</v>
      </c>
      <c r="B211" s="417" t="s">
        <v>1028</v>
      </c>
      <c r="C211" s="417" t="s">
        <v>1396</v>
      </c>
      <c r="D211" s="416" t="s">
        <v>593</v>
      </c>
      <c r="E211" s="417" t="s">
        <v>1403</v>
      </c>
      <c r="F211" s="418">
        <v>4</v>
      </c>
      <c r="G211" s="419">
        <v>27.94</v>
      </c>
      <c r="H211" s="418">
        <v>25</v>
      </c>
      <c r="I211" s="419">
        <v>34.93</v>
      </c>
      <c r="J211" s="419">
        <v>139.72</v>
      </c>
    </row>
    <row r="212" spans="1:10" s="237" customFormat="1" ht="28.5">
      <c r="A212" s="416" t="s">
        <v>1339</v>
      </c>
      <c r="B212" s="417" t="s">
        <v>1705</v>
      </c>
      <c r="C212" s="417" t="s">
        <v>1400</v>
      </c>
      <c r="D212" s="416" t="s">
        <v>1706</v>
      </c>
      <c r="E212" s="417" t="s">
        <v>1403</v>
      </c>
      <c r="F212" s="418">
        <v>1</v>
      </c>
      <c r="G212" s="419">
        <v>74.66</v>
      </c>
      <c r="H212" s="418">
        <v>25</v>
      </c>
      <c r="I212" s="419">
        <v>93.33</v>
      </c>
      <c r="J212" s="419">
        <v>93.33</v>
      </c>
    </row>
    <row r="213" spans="1:10" s="237" customFormat="1" ht="42.75">
      <c r="A213" s="416" t="s">
        <v>1340</v>
      </c>
      <c r="B213" s="417" t="s">
        <v>1707</v>
      </c>
      <c r="C213" s="417" t="s">
        <v>1400</v>
      </c>
      <c r="D213" s="416" t="s">
        <v>1708</v>
      </c>
      <c r="E213" s="417" t="s">
        <v>1403</v>
      </c>
      <c r="F213" s="418">
        <v>2</v>
      </c>
      <c r="G213" s="419">
        <v>1450.27</v>
      </c>
      <c r="H213" s="418">
        <v>25</v>
      </c>
      <c r="I213" s="419">
        <v>1812.84</v>
      </c>
      <c r="J213" s="419">
        <v>3625.68</v>
      </c>
    </row>
    <row r="214" spans="1:10" s="237" customFormat="1" ht="57">
      <c r="A214" s="416" t="s">
        <v>1341</v>
      </c>
      <c r="B214" s="417" t="s">
        <v>1709</v>
      </c>
      <c r="C214" s="417" t="s">
        <v>1400</v>
      </c>
      <c r="D214" s="416" t="s">
        <v>1710</v>
      </c>
      <c r="E214" s="417" t="s">
        <v>1403</v>
      </c>
      <c r="F214" s="418">
        <v>2</v>
      </c>
      <c r="G214" s="419">
        <v>1495.65</v>
      </c>
      <c r="H214" s="418">
        <v>25</v>
      </c>
      <c r="I214" s="419">
        <v>1869.56</v>
      </c>
      <c r="J214" s="419">
        <v>3739.12</v>
      </c>
    </row>
    <row r="215" spans="1:10" s="237" customFormat="1" ht="28.5">
      <c r="A215" s="416" t="s">
        <v>1342</v>
      </c>
      <c r="B215" s="417" t="s">
        <v>1711</v>
      </c>
      <c r="C215" s="417" t="s">
        <v>1400</v>
      </c>
      <c r="D215" s="416" t="s">
        <v>1712</v>
      </c>
      <c r="E215" s="417" t="s">
        <v>1403</v>
      </c>
      <c r="F215" s="418">
        <v>1</v>
      </c>
      <c r="G215" s="419">
        <v>333.66</v>
      </c>
      <c r="H215" s="418">
        <v>25</v>
      </c>
      <c r="I215" s="419">
        <v>417.08</v>
      </c>
      <c r="J215" s="419">
        <v>417.08</v>
      </c>
    </row>
    <row r="216" spans="1:10" s="237" customFormat="1" ht="28.5">
      <c r="A216" s="416" t="s">
        <v>1343</v>
      </c>
      <c r="B216" s="417" t="s">
        <v>1713</v>
      </c>
      <c r="C216" s="417" t="s">
        <v>1099</v>
      </c>
      <c r="D216" s="416" t="s">
        <v>1137</v>
      </c>
      <c r="E216" s="417" t="s">
        <v>1403</v>
      </c>
      <c r="F216" s="418">
        <v>1</v>
      </c>
      <c r="G216" s="419">
        <v>60770</v>
      </c>
      <c r="H216" s="418">
        <v>25</v>
      </c>
      <c r="I216" s="419">
        <v>75962.5</v>
      </c>
      <c r="J216" s="419">
        <v>75962.5</v>
      </c>
    </row>
    <row r="217" spans="1:10" s="237" customFormat="1" ht="42.75">
      <c r="A217" s="416" t="s">
        <v>1344</v>
      </c>
      <c r="B217" s="417" t="s">
        <v>1714</v>
      </c>
      <c r="C217" s="417" t="s">
        <v>1400</v>
      </c>
      <c r="D217" s="416" t="s">
        <v>1715</v>
      </c>
      <c r="E217" s="417" t="s">
        <v>931</v>
      </c>
      <c r="F217" s="418">
        <v>9</v>
      </c>
      <c r="G217" s="419">
        <v>344.83</v>
      </c>
      <c r="H217" s="418">
        <v>25</v>
      </c>
      <c r="I217" s="419">
        <v>431.04</v>
      </c>
      <c r="J217" s="419">
        <v>3879.36</v>
      </c>
    </row>
    <row r="218" spans="1:10" s="237" customFormat="1" ht="42.75">
      <c r="A218" s="416" t="s">
        <v>1345</v>
      </c>
      <c r="B218" s="417" t="s">
        <v>1716</v>
      </c>
      <c r="C218" s="417" t="s">
        <v>1400</v>
      </c>
      <c r="D218" s="416" t="s">
        <v>1717</v>
      </c>
      <c r="E218" s="417" t="s">
        <v>932</v>
      </c>
      <c r="F218" s="418">
        <v>6</v>
      </c>
      <c r="G218" s="419">
        <v>178.87</v>
      </c>
      <c r="H218" s="418">
        <v>25</v>
      </c>
      <c r="I218" s="419">
        <v>223.59</v>
      </c>
      <c r="J218" s="419">
        <v>1341.54</v>
      </c>
    </row>
    <row r="219" spans="1:10" s="237" customFormat="1" ht="15" customHeight="1">
      <c r="A219" s="241" t="s">
        <v>1718</v>
      </c>
      <c r="B219" s="242" t="s">
        <v>59</v>
      </c>
      <c r="C219" s="242"/>
      <c r="D219" s="242"/>
      <c r="E219" s="242"/>
      <c r="F219" s="242"/>
      <c r="G219" s="242"/>
      <c r="H219" s="242"/>
      <c r="I219" s="242"/>
      <c r="J219" s="243">
        <v>108452.42</v>
      </c>
    </row>
    <row r="220" spans="1:10" s="237" customFormat="1" ht="42.75">
      <c r="A220" s="416" t="s">
        <v>603</v>
      </c>
      <c r="B220" s="417" t="s">
        <v>1719</v>
      </c>
      <c r="C220" s="417" t="s">
        <v>1400</v>
      </c>
      <c r="D220" s="416" t="s">
        <v>1720</v>
      </c>
      <c r="E220" s="417" t="s">
        <v>1416</v>
      </c>
      <c r="F220" s="418">
        <v>69.59</v>
      </c>
      <c r="G220" s="419">
        <v>25.95</v>
      </c>
      <c r="H220" s="418">
        <v>25</v>
      </c>
      <c r="I220" s="419">
        <v>32.44</v>
      </c>
      <c r="J220" s="419">
        <v>2257.5</v>
      </c>
    </row>
    <row r="221" spans="1:10" s="237" customFormat="1" ht="42.75">
      <c r="A221" s="416" t="s">
        <v>605</v>
      </c>
      <c r="B221" s="417" t="s">
        <v>1721</v>
      </c>
      <c r="C221" s="417" t="s">
        <v>1400</v>
      </c>
      <c r="D221" s="416" t="s">
        <v>1722</v>
      </c>
      <c r="E221" s="417" t="s">
        <v>1416</v>
      </c>
      <c r="F221" s="418">
        <v>137.36000000000001</v>
      </c>
      <c r="G221" s="419">
        <v>32.21</v>
      </c>
      <c r="H221" s="418">
        <v>25</v>
      </c>
      <c r="I221" s="419">
        <v>40.26</v>
      </c>
      <c r="J221" s="419">
        <v>5530.11</v>
      </c>
    </row>
    <row r="222" spans="1:10" s="237" customFormat="1" ht="42.75">
      <c r="A222" s="416" t="s">
        <v>607</v>
      </c>
      <c r="B222" s="417" t="s">
        <v>1723</v>
      </c>
      <c r="C222" s="417" t="s">
        <v>1400</v>
      </c>
      <c r="D222" s="416" t="s">
        <v>1724</v>
      </c>
      <c r="E222" s="417" t="s">
        <v>1416</v>
      </c>
      <c r="F222" s="418">
        <v>94.47</v>
      </c>
      <c r="G222" s="419">
        <v>39.96</v>
      </c>
      <c r="H222" s="418">
        <v>25</v>
      </c>
      <c r="I222" s="419">
        <v>49.95</v>
      </c>
      <c r="J222" s="419">
        <v>4718.78</v>
      </c>
    </row>
    <row r="223" spans="1:10" s="237" customFormat="1" ht="42.75">
      <c r="A223" s="416" t="s">
        <v>609</v>
      </c>
      <c r="B223" s="417" t="s">
        <v>1725</v>
      </c>
      <c r="C223" s="417" t="s">
        <v>1400</v>
      </c>
      <c r="D223" s="416" t="s">
        <v>1726</v>
      </c>
      <c r="E223" s="417" t="s">
        <v>1416</v>
      </c>
      <c r="F223" s="418">
        <v>160.75</v>
      </c>
      <c r="G223" s="419">
        <v>44.89</v>
      </c>
      <c r="H223" s="418">
        <v>25</v>
      </c>
      <c r="I223" s="419">
        <v>56.11</v>
      </c>
      <c r="J223" s="419">
        <v>9019.68</v>
      </c>
    </row>
    <row r="224" spans="1:10" s="237" customFormat="1" ht="57">
      <c r="A224" s="416" t="s">
        <v>1394</v>
      </c>
      <c r="B224" s="417" t="s">
        <v>1727</v>
      </c>
      <c r="C224" s="417" t="s">
        <v>1400</v>
      </c>
      <c r="D224" s="416" t="s">
        <v>1728</v>
      </c>
      <c r="E224" s="417" t="s">
        <v>1403</v>
      </c>
      <c r="F224" s="418">
        <v>4</v>
      </c>
      <c r="G224" s="419">
        <v>12.42</v>
      </c>
      <c r="H224" s="418">
        <v>25</v>
      </c>
      <c r="I224" s="419">
        <v>15.53</v>
      </c>
      <c r="J224" s="419">
        <v>62.12</v>
      </c>
    </row>
    <row r="225" spans="1:10" s="237" customFormat="1" ht="57">
      <c r="A225" s="416" t="s">
        <v>611</v>
      </c>
      <c r="B225" s="417" t="s">
        <v>1729</v>
      </c>
      <c r="C225" s="417" t="s">
        <v>1400</v>
      </c>
      <c r="D225" s="416" t="s">
        <v>1730</v>
      </c>
      <c r="E225" s="417" t="s">
        <v>1403</v>
      </c>
      <c r="F225" s="418">
        <v>43</v>
      </c>
      <c r="G225" s="419">
        <v>12.37</v>
      </c>
      <c r="H225" s="418">
        <v>25</v>
      </c>
      <c r="I225" s="419">
        <v>15.46</v>
      </c>
      <c r="J225" s="419">
        <v>664.78</v>
      </c>
    </row>
    <row r="226" spans="1:10" s="237" customFormat="1" ht="57">
      <c r="A226" s="416" t="s">
        <v>612</v>
      </c>
      <c r="B226" s="417" t="s">
        <v>1731</v>
      </c>
      <c r="C226" s="417" t="s">
        <v>1400</v>
      </c>
      <c r="D226" s="416" t="s">
        <v>1732</v>
      </c>
      <c r="E226" s="417" t="s">
        <v>1403</v>
      </c>
      <c r="F226" s="418">
        <v>21</v>
      </c>
      <c r="G226" s="419">
        <v>18.11</v>
      </c>
      <c r="H226" s="418">
        <v>25</v>
      </c>
      <c r="I226" s="419">
        <v>22.64</v>
      </c>
      <c r="J226" s="419">
        <v>475.44</v>
      </c>
    </row>
    <row r="227" spans="1:10" s="237" customFormat="1" ht="57">
      <c r="A227" s="416" t="s">
        <v>613</v>
      </c>
      <c r="B227" s="417" t="s">
        <v>1733</v>
      </c>
      <c r="C227" s="417" t="s">
        <v>1400</v>
      </c>
      <c r="D227" s="416" t="s">
        <v>1734</v>
      </c>
      <c r="E227" s="417" t="s">
        <v>1403</v>
      </c>
      <c r="F227" s="418">
        <v>10</v>
      </c>
      <c r="G227" s="419">
        <v>26.71</v>
      </c>
      <c r="H227" s="418">
        <v>25</v>
      </c>
      <c r="I227" s="419">
        <v>33.39</v>
      </c>
      <c r="J227" s="419">
        <v>333.9</v>
      </c>
    </row>
    <row r="228" spans="1:10" s="237" customFormat="1" ht="57">
      <c r="A228" s="416" t="s">
        <v>615</v>
      </c>
      <c r="B228" s="417" t="s">
        <v>1735</v>
      </c>
      <c r="C228" s="417" t="s">
        <v>1400</v>
      </c>
      <c r="D228" s="416" t="s">
        <v>1736</v>
      </c>
      <c r="E228" s="417" t="s">
        <v>1403</v>
      </c>
      <c r="F228" s="418">
        <v>10</v>
      </c>
      <c r="G228" s="419">
        <v>32.020000000000003</v>
      </c>
      <c r="H228" s="418">
        <v>25</v>
      </c>
      <c r="I228" s="419">
        <v>40.03</v>
      </c>
      <c r="J228" s="419">
        <v>400.3</v>
      </c>
    </row>
    <row r="229" spans="1:10" s="237" customFormat="1" ht="57">
      <c r="A229" s="416" t="s">
        <v>617</v>
      </c>
      <c r="B229" s="417" t="s">
        <v>1737</v>
      </c>
      <c r="C229" s="417" t="s">
        <v>1400</v>
      </c>
      <c r="D229" s="416" t="s">
        <v>1738</v>
      </c>
      <c r="E229" s="417" t="s">
        <v>1403</v>
      </c>
      <c r="F229" s="418">
        <v>59</v>
      </c>
      <c r="G229" s="419">
        <v>12.14</v>
      </c>
      <c r="H229" s="418">
        <v>25</v>
      </c>
      <c r="I229" s="419">
        <v>15.18</v>
      </c>
      <c r="J229" s="419">
        <v>895.62</v>
      </c>
    </row>
    <row r="230" spans="1:10" s="237" customFormat="1" ht="57">
      <c r="A230" s="416" t="s">
        <v>619</v>
      </c>
      <c r="B230" s="417" t="s">
        <v>1739</v>
      </c>
      <c r="C230" s="417" t="s">
        <v>1400</v>
      </c>
      <c r="D230" s="416" t="s">
        <v>1740</v>
      </c>
      <c r="E230" s="417" t="s">
        <v>1403</v>
      </c>
      <c r="F230" s="418">
        <v>40</v>
      </c>
      <c r="G230" s="419">
        <v>17.350000000000001</v>
      </c>
      <c r="H230" s="418">
        <v>25</v>
      </c>
      <c r="I230" s="419">
        <v>21.69</v>
      </c>
      <c r="J230" s="419">
        <v>867.6</v>
      </c>
    </row>
    <row r="231" spans="1:10" s="237" customFormat="1" ht="57">
      <c r="A231" s="416" t="s">
        <v>621</v>
      </c>
      <c r="B231" s="417" t="s">
        <v>1741</v>
      </c>
      <c r="C231" s="417" t="s">
        <v>1400</v>
      </c>
      <c r="D231" s="416" t="s">
        <v>1742</v>
      </c>
      <c r="E231" s="417" t="s">
        <v>1403</v>
      </c>
      <c r="F231" s="418">
        <v>20</v>
      </c>
      <c r="G231" s="419">
        <v>25.7</v>
      </c>
      <c r="H231" s="418">
        <v>25</v>
      </c>
      <c r="I231" s="419">
        <v>32.130000000000003</v>
      </c>
      <c r="J231" s="419">
        <v>642.6</v>
      </c>
    </row>
    <row r="232" spans="1:10" s="237" customFormat="1" ht="57">
      <c r="A232" s="416" t="s">
        <v>623</v>
      </c>
      <c r="B232" s="417" t="s">
        <v>1743</v>
      </c>
      <c r="C232" s="417" t="s">
        <v>1400</v>
      </c>
      <c r="D232" s="416" t="s">
        <v>1744</v>
      </c>
      <c r="E232" s="417" t="s">
        <v>1403</v>
      </c>
      <c r="F232" s="418">
        <v>23</v>
      </c>
      <c r="G232" s="419">
        <v>31.15</v>
      </c>
      <c r="H232" s="418">
        <v>25</v>
      </c>
      <c r="I232" s="419">
        <v>38.94</v>
      </c>
      <c r="J232" s="419">
        <v>895.62</v>
      </c>
    </row>
    <row r="233" spans="1:10" s="237" customFormat="1" ht="42.75">
      <c r="A233" s="416" t="s">
        <v>625</v>
      </c>
      <c r="B233" s="417" t="s">
        <v>1105</v>
      </c>
      <c r="C233" s="417" t="s">
        <v>1396</v>
      </c>
      <c r="D233" s="416" t="s">
        <v>1745</v>
      </c>
      <c r="E233" s="417" t="s">
        <v>1403</v>
      </c>
      <c r="F233" s="418">
        <v>1</v>
      </c>
      <c r="G233" s="419">
        <v>23.74</v>
      </c>
      <c r="H233" s="418">
        <v>25</v>
      </c>
      <c r="I233" s="419">
        <v>29.68</v>
      </c>
      <c r="J233" s="419">
        <v>29.68</v>
      </c>
    </row>
    <row r="234" spans="1:10" s="237" customFormat="1" ht="57">
      <c r="A234" s="416" t="s">
        <v>627</v>
      </c>
      <c r="B234" s="417" t="s">
        <v>1746</v>
      </c>
      <c r="C234" s="417" t="s">
        <v>1400</v>
      </c>
      <c r="D234" s="416" t="s">
        <v>1747</v>
      </c>
      <c r="E234" s="417" t="s">
        <v>1403</v>
      </c>
      <c r="F234" s="418">
        <v>4</v>
      </c>
      <c r="G234" s="419">
        <v>30.04</v>
      </c>
      <c r="H234" s="418">
        <v>25</v>
      </c>
      <c r="I234" s="419">
        <v>37.549999999999997</v>
      </c>
      <c r="J234" s="419">
        <v>150.19999999999999</v>
      </c>
    </row>
    <row r="235" spans="1:10" s="237" customFormat="1" ht="57">
      <c r="A235" s="416" t="s">
        <v>629</v>
      </c>
      <c r="B235" s="417" t="s">
        <v>1748</v>
      </c>
      <c r="C235" s="417" t="s">
        <v>1400</v>
      </c>
      <c r="D235" s="416" t="s">
        <v>1749</v>
      </c>
      <c r="E235" s="417" t="s">
        <v>1403</v>
      </c>
      <c r="F235" s="418">
        <v>11</v>
      </c>
      <c r="G235" s="419">
        <v>38.08</v>
      </c>
      <c r="H235" s="418">
        <v>25</v>
      </c>
      <c r="I235" s="419">
        <v>47.6</v>
      </c>
      <c r="J235" s="419">
        <v>523.6</v>
      </c>
    </row>
    <row r="236" spans="1:10" s="237" customFormat="1" ht="42.75">
      <c r="A236" s="416" t="s">
        <v>631</v>
      </c>
      <c r="B236" s="417" t="s">
        <v>1750</v>
      </c>
      <c r="C236" s="417" t="s">
        <v>1400</v>
      </c>
      <c r="D236" s="416" t="s">
        <v>1029</v>
      </c>
      <c r="E236" s="417" t="s">
        <v>1403</v>
      </c>
      <c r="F236" s="418">
        <v>11</v>
      </c>
      <c r="G236" s="419">
        <v>51.19</v>
      </c>
      <c r="H236" s="418">
        <v>25</v>
      </c>
      <c r="I236" s="419">
        <v>63.99</v>
      </c>
      <c r="J236" s="419">
        <v>703.89</v>
      </c>
    </row>
    <row r="237" spans="1:10" s="237" customFormat="1" ht="42.75">
      <c r="A237" s="416" t="s">
        <v>633</v>
      </c>
      <c r="B237" s="417" t="s">
        <v>1751</v>
      </c>
      <c r="C237" s="417" t="s">
        <v>1400</v>
      </c>
      <c r="D237" s="416" t="s">
        <v>1752</v>
      </c>
      <c r="E237" s="417" t="s">
        <v>1403</v>
      </c>
      <c r="F237" s="418">
        <v>5</v>
      </c>
      <c r="G237" s="419">
        <v>50.11</v>
      </c>
      <c r="H237" s="418">
        <v>25</v>
      </c>
      <c r="I237" s="419">
        <v>62.64</v>
      </c>
      <c r="J237" s="419">
        <v>313.2</v>
      </c>
    </row>
    <row r="238" spans="1:10" s="237" customFormat="1" ht="57">
      <c r="A238" s="416" t="s">
        <v>634</v>
      </c>
      <c r="B238" s="417" t="s">
        <v>1750</v>
      </c>
      <c r="C238" s="417" t="s">
        <v>1400</v>
      </c>
      <c r="D238" s="416" t="s">
        <v>1753</v>
      </c>
      <c r="E238" s="417" t="s">
        <v>1403</v>
      </c>
      <c r="F238" s="418">
        <v>11</v>
      </c>
      <c r="G238" s="419">
        <v>56.7</v>
      </c>
      <c r="H238" s="418">
        <v>25</v>
      </c>
      <c r="I238" s="419">
        <v>70.88</v>
      </c>
      <c r="J238" s="419">
        <v>779.68</v>
      </c>
    </row>
    <row r="239" spans="1:10" s="237" customFormat="1" ht="42.75">
      <c r="A239" s="416" t="s">
        <v>635</v>
      </c>
      <c r="B239" s="417" t="s">
        <v>1754</v>
      </c>
      <c r="C239" s="417" t="s">
        <v>1400</v>
      </c>
      <c r="D239" s="416" t="s">
        <v>1755</v>
      </c>
      <c r="E239" s="417" t="s">
        <v>1403</v>
      </c>
      <c r="F239" s="418">
        <v>67</v>
      </c>
      <c r="G239" s="419">
        <v>10.72</v>
      </c>
      <c r="H239" s="418">
        <v>25</v>
      </c>
      <c r="I239" s="419">
        <v>13.4</v>
      </c>
      <c r="J239" s="419">
        <v>897.8</v>
      </c>
    </row>
    <row r="240" spans="1:10" s="237" customFormat="1" ht="42.75">
      <c r="A240" s="416" t="s">
        <v>636</v>
      </c>
      <c r="B240" s="417" t="s">
        <v>1756</v>
      </c>
      <c r="C240" s="417" t="s">
        <v>1400</v>
      </c>
      <c r="D240" s="416" t="s">
        <v>1757</v>
      </c>
      <c r="E240" s="417" t="s">
        <v>1403</v>
      </c>
      <c r="F240" s="418">
        <v>48</v>
      </c>
      <c r="G240" s="419">
        <v>17.2</v>
      </c>
      <c r="H240" s="418">
        <v>25</v>
      </c>
      <c r="I240" s="419">
        <v>21.5</v>
      </c>
      <c r="J240" s="419">
        <v>1032</v>
      </c>
    </row>
    <row r="241" spans="1:10" s="237" customFormat="1" ht="57">
      <c r="A241" s="416" t="s">
        <v>638</v>
      </c>
      <c r="B241" s="417" t="s">
        <v>1758</v>
      </c>
      <c r="C241" s="417" t="s">
        <v>1400</v>
      </c>
      <c r="D241" s="416" t="s">
        <v>1759</v>
      </c>
      <c r="E241" s="417" t="s">
        <v>1403</v>
      </c>
      <c r="F241" s="418">
        <v>73</v>
      </c>
      <c r="G241" s="419">
        <v>19.73</v>
      </c>
      <c r="H241" s="418">
        <v>25</v>
      </c>
      <c r="I241" s="419">
        <v>24.66</v>
      </c>
      <c r="J241" s="419">
        <v>1800.18</v>
      </c>
    </row>
    <row r="242" spans="1:10" s="237" customFormat="1" ht="42.75">
      <c r="A242" s="416" t="s">
        <v>640</v>
      </c>
      <c r="B242" s="417" t="s">
        <v>1760</v>
      </c>
      <c r="C242" s="417" t="s">
        <v>1400</v>
      </c>
      <c r="D242" s="416" t="s">
        <v>1761</v>
      </c>
      <c r="E242" s="417" t="s">
        <v>1403</v>
      </c>
      <c r="F242" s="418">
        <v>7</v>
      </c>
      <c r="G242" s="419">
        <v>33.78</v>
      </c>
      <c r="H242" s="418">
        <v>25</v>
      </c>
      <c r="I242" s="419">
        <v>42.23</v>
      </c>
      <c r="J242" s="419">
        <v>295.61</v>
      </c>
    </row>
    <row r="243" spans="1:10" s="237" customFormat="1" ht="57">
      <c r="A243" s="416" t="s">
        <v>642</v>
      </c>
      <c r="B243" s="417" t="s">
        <v>1762</v>
      </c>
      <c r="C243" s="417" t="s">
        <v>1400</v>
      </c>
      <c r="D243" s="416" t="s">
        <v>1763</v>
      </c>
      <c r="E243" s="417" t="s">
        <v>1403</v>
      </c>
      <c r="F243" s="418">
        <v>7</v>
      </c>
      <c r="G243" s="419">
        <v>11.53</v>
      </c>
      <c r="H243" s="418">
        <v>25</v>
      </c>
      <c r="I243" s="419">
        <v>14.41</v>
      </c>
      <c r="J243" s="419">
        <v>100.87</v>
      </c>
    </row>
    <row r="244" spans="1:10" s="237" customFormat="1" ht="57">
      <c r="A244" s="416" t="s">
        <v>644</v>
      </c>
      <c r="B244" s="417" t="s">
        <v>1764</v>
      </c>
      <c r="C244" s="417" t="s">
        <v>1400</v>
      </c>
      <c r="D244" s="416" t="s">
        <v>1765</v>
      </c>
      <c r="E244" s="417" t="s">
        <v>1403</v>
      </c>
      <c r="F244" s="418">
        <v>6</v>
      </c>
      <c r="G244" s="419">
        <v>24.07</v>
      </c>
      <c r="H244" s="418">
        <v>25</v>
      </c>
      <c r="I244" s="419">
        <v>30.09</v>
      </c>
      <c r="J244" s="419">
        <v>180.54</v>
      </c>
    </row>
    <row r="245" spans="1:10" s="237" customFormat="1" ht="42.75">
      <c r="A245" s="416" t="s">
        <v>645</v>
      </c>
      <c r="B245" s="417" t="s">
        <v>1766</v>
      </c>
      <c r="C245" s="417" t="s">
        <v>1400</v>
      </c>
      <c r="D245" s="416" t="s">
        <v>1767</v>
      </c>
      <c r="E245" s="417" t="s">
        <v>1403</v>
      </c>
      <c r="F245" s="418">
        <v>4</v>
      </c>
      <c r="G245" s="419">
        <v>27.6</v>
      </c>
      <c r="H245" s="418">
        <v>25</v>
      </c>
      <c r="I245" s="419">
        <v>34.5</v>
      </c>
      <c r="J245" s="419">
        <v>138</v>
      </c>
    </row>
    <row r="246" spans="1:10" s="237" customFormat="1" ht="42.75">
      <c r="A246" s="416" t="s">
        <v>647</v>
      </c>
      <c r="B246" s="417" t="s">
        <v>1768</v>
      </c>
      <c r="C246" s="417" t="s">
        <v>1400</v>
      </c>
      <c r="D246" s="416" t="s">
        <v>1769</v>
      </c>
      <c r="E246" s="417" t="s">
        <v>1403</v>
      </c>
      <c r="F246" s="418">
        <v>11</v>
      </c>
      <c r="G246" s="419">
        <v>43.22</v>
      </c>
      <c r="H246" s="418">
        <v>25</v>
      </c>
      <c r="I246" s="419">
        <v>54.03</v>
      </c>
      <c r="J246" s="419">
        <v>594.33000000000004</v>
      </c>
    </row>
    <row r="247" spans="1:10" s="237" customFormat="1" ht="42.75">
      <c r="A247" s="416" t="s">
        <v>648</v>
      </c>
      <c r="B247" s="417" t="s">
        <v>1770</v>
      </c>
      <c r="C247" s="417" t="s">
        <v>1400</v>
      </c>
      <c r="D247" s="416" t="s">
        <v>1771</v>
      </c>
      <c r="E247" s="417" t="s">
        <v>1403</v>
      </c>
      <c r="F247" s="418">
        <v>1</v>
      </c>
      <c r="G247" s="419">
        <v>45.43</v>
      </c>
      <c r="H247" s="418">
        <v>25</v>
      </c>
      <c r="I247" s="419">
        <v>56.79</v>
      </c>
      <c r="J247" s="419">
        <v>56.79</v>
      </c>
    </row>
    <row r="248" spans="1:10" s="237" customFormat="1" ht="42.75">
      <c r="A248" s="416" t="s">
        <v>649</v>
      </c>
      <c r="B248" s="417" t="s">
        <v>1751</v>
      </c>
      <c r="C248" s="417" t="s">
        <v>1400</v>
      </c>
      <c r="D248" s="416" t="s">
        <v>1752</v>
      </c>
      <c r="E248" s="417" t="s">
        <v>1403</v>
      </c>
      <c r="F248" s="418">
        <v>9</v>
      </c>
      <c r="G248" s="419">
        <v>50.11</v>
      </c>
      <c r="H248" s="418">
        <v>25</v>
      </c>
      <c r="I248" s="419">
        <v>62.64</v>
      </c>
      <c r="J248" s="419">
        <v>563.76</v>
      </c>
    </row>
    <row r="249" spans="1:10" s="237" customFormat="1" ht="42.75">
      <c r="A249" s="416" t="s">
        <v>651</v>
      </c>
      <c r="B249" s="417" t="s">
        <v>1772</v>
      </c>
      <c r="C249" s="417" t="s">
        <v>1400</v>
      </c>
      <c r="D249" s="416" t="s">
        <v>1773</v>
      </c>
      <c r="E249" s="417" t="s">
        <v>1403</v>
      </c>
      <c r="F249" s="418">
        <v>3</v>
      </c>
      <c r="G249" s="419">
        <v>55.61</v>
      </c>
      <c r="H249" s="418">
        <v>25</v>
      </c>
      <c r="I249" s="419">
        <v>69.510000000000005</v>
      </c>
      <c r="J249" s="419">
        <v>208.53</v>
      </c>
    </row>
    <row r="250" spans="1:10" s="237" customFormat="1" ht="42.75">
      <c r="A250" s="416" t="s">
        <v>652</v>
      </c>
      <c r="B250" s="417" t="s">
        <v>1035</v>
      </c>
      <c r="C250" s="417" t="s">
        <v>1396</v>
      </c>
      <c r="D250" s="416" t="s">
        <v>1034</v>
      </c>
      <c r="E250" s="417" t="s">
        <v>1403</v>
      </c>
      <c r="F250" s="418">
        <v>1</v>
      </c>
      <c r="G250" s="419">
        <v>101.44</v>
      </c>
      <c r="H250" s="418">
        <v>25</v>
      </c>
      <c r="I250" s="419">
        <v>126.8</v>
      </c>
      <c r="J250" s="419">
        <v>126.8</v>
      </c>
    </row>
    <row r="251" spans="1:10" s="237" customFormat="1" ht="57">
      <c r="A251" s="416" t="s">
        <v>653</v>
      </c>
      <c r="B251" s="417" t="s">
        <v>1774</v>
      </c>
      <c r="C251" s="417" t="s">
        <v>1400</v>
      </c>
      <c r="D251" s="416" t="s">
        <v>1775</v>
      </c>
      <c r="E251" s="417" t="s">
        <v>1403</v>
      </c>
      <c r="F251" s="418">
        <v>26</v>
      </c>
      <c r="G251" s="419">
        <v>89.66</v>
      </c>
      <c r="H251" s="418">
        <v>25</v>
      </c>
      <c r="I251" s="419">
        <v>112.08</v>
      </c>
      <c r="J251" s="419">
        <v>2914.08</v>
      </c>
    </row>
    <row r="252" spans="1:10" s="237" customFormat="1" ht="42.75">
      <c r="A252" s="416" t="s">
        <v>655</v>
      </c>
      <c r="B252" s="417" t="s">
        <v>1776</v>
      </c>
      <c r="C252" s="417" t="s">
        <v>1400</v>
      </c>
      <c r="D252" s="416" t="s">
        <v>1777</v>
      </c>
      <c r="E252" s="417" t="s">
        <v>1403</v>
      </c>
      <c r="F252" s="418">
        <v>2</v>
      </c>
      <c r="G252" s="419">
        <v>130.65</v>
      </c>
      <c r="H252" s="418">
        <v>25</v>
      </c>
      <c r="I252" s="419">
        <v>163.31</v>
      </c>
      <c r="J252" s="419">
        <v>326.62</v>
      </c>
    </row>
    <row r="253" spans="1:10" s="237" customFormat="1" ht="114">
      <c r="A253" s="416" t="s">
        <v>656</v>
      </c>
      <c r="B253" s="417" t="s">
        <v>1036</v>
      </c>
      <c r="C253" s="417" t="s">
        <v>1099</v>
      </c>
      <c r="D253" s="416" t="s">
        <v>1778</v>
      </c>
      <c r="E253" s="417" t="s">
        <v>1403</v>
      </c>
      <c r="F253" s="418">
        <v>11</v>
      </c>
      <c r="G253" s="419">
        <v>391.34</v>
      </c>
      <c r="H253" s="418">
        <v>25</v>
      </c>
      <c r="I253" s="419">
        <v>489.18</v>
      </c>
      <c r="J253" s="419">
        <v>5380.98</v>
      </c>
    </row>
    <row r="254" spans="1:10" s="237" customFormat="1" ht="57">
      <c r="A254" s="416" t="s">
        <v>658</v>
      </c>
      <c r="B254" s="417" t="s">
        <v>1779</v>
      </c>
      <c r="C254" s="417" t="s">
        <v>1396</v>
      </c>
      <c r="D254" s="416" t="s">
        <v>1780</v>
      </c>
      <c r="E254" s="417" t="s">
        <v>1403</v>
      </c>
      <c r="F254" s="418">
        <v>4</v>
      </c>
      <c r="G254" s="419">
        <v>439.91</v>
      </c>
      <c r="H254" s="418">
        <v>25</v>
      </c>
      <c r="I254" s="419">
        <v>549.89</v>
      </c>
      <c r="J254" s="419">
        <v>2199.56</v>
      </c>
    </row>
    <row r="255" spans="1:10" s="237" customFormat="1" ht="42.75">
      <c r="A255" s="416" t="s">
        <v>660</v>
      </c>
      <c r="B255" s="417" t="s">
        <v>1781</v>
      </c>
      <c r="C255" s="417" t="s">
        <v>1400</v>
      </c>
      <c r="D255" s="416" t="s">
        <v>1782</v>
      </c>
      <c r="E255" s="417" t="s">
        <v>1403</v>
      </c>
      <c r="F255" s="418">
        <v>3</v>
      </c>
      <c r="G255" s="419">
        <v>23.58</v>
      </c>
      <c r="H255" s="418">
        <v>25</v>
      </c>
      <c r="I255" s="419">
        <v>29.48</v>
      </c>
      <c r="J255" s="419">
        <v>88.44</v>
      </c>
    </row>
    <row r="256" spans="1:10" s="237" customFormat="1" ht="14.25">
      <c r="A256" s="416" t="s">
        <v>661</v>
      </c>
      <c r="B256" s="417" t="s">
        <v>1040</v>
      </c>
      <c r="C256" s="417" t="s">
        <v>1396</v>
      </c>
      <c r="D256" s="416" t="s">
        <v>1783</v>
      </c>
      <c r="E256" s="417" t="s">
        <v>1403</v>
      </c>
      <c r="F256" s="418">
        <v>32</v>
      </c>
      <c r="G256" s="419">
        <v>101.89</v>
      </c>
      <c r="H256" s="418">
        <v>25</v>
      </c>
      <c r="I256" s="419">
        <v>127.36</v>
      </c>
      <c r="J256" s="419">
        <v>4075.52</v>
      </c>
    </row>
    <row r="257" spans="1:10" s="237" customFormat="1" ht="57">
      <c r="A257" s="416" t="s">
        <v>663</v>
      </c>
      <c r="B257" s="417" t="s">
        <v>1784</v>
      </c>
      <c r="C257" s="417" t="s">
        <v>1400</v>
      </c>
      <c r="D257" s="416" t="s">
        <v>1785</v>
      </c>
      <c r="E257" s="417" t="s">
        <v>1403</v>
      </c>
      <c r="F257" s="418">
        <v>2</v>
      </c>
      <c r="G257" s="419">
        <v>15357.61</v>
      </c>
      <c r="H257" s="418">
        <v>25</v>
      </c>
      <c r="I257" s="419">
        <v>19197.009999999998</v>
      </c>
      <c r="J257" s="419">
        <v>38394.019999999997</v>
      </c>
    </row>
    <row r="258" spans="1:10" s="237" customFormat="1" ht="57">
      <c r="A258" s="416" t="s">
        <v>665</v>
      </c>
      <c r="B258" s="417" t="s">
        <v>1786</v>
      </c>
      <c r="C258" s="417" t="s">
        <v>1400</v>
      </c>
      <c r="D258" s="416" t="s">
        <v>1787</v>
      </c>
      <c r="E258" s="417" t="s">
        <v>1403</v>
      </c>
      <c r="F258" s="418">
        <v>1</v>
      </c>
      <c r="G258" s="419">
        <v>15850.95</v>
      </c>
      <c r="H258" s="418">
        <v>25</v>
      </c>
      <c r="I258" s="419">
        <v>19813.689999999999</v>
      </c>
      <c r="J258" s="419">
        <v>19813.689999999999</v>
      </c>
    </row>
    <row r="259" spans="1:10" s="237" customFormat="1" ht="15" customHeight="1">
      <c r="A259" s="241" t="s">
        <v>1788</v>
      </c>
      <c r="B259" s="242" t="s">
        <v>60</v>
      </c>
      <c r="C259" s="242"/>
      <c r="D259" s="242"/>
      <c r="E259" s="242"/>
      <c r="F259" s="242"/>
      <c r="G259" s="242"/>
      <c r="H259" s="242"/>
      <c r="I259" s="242"/>
      <c r="J259" s="243">
        <v>22154.28</v>
      </c>
    </row>
    <row r="260" spans="1:10" s="237" customFormat="1" ht="28.5">
      <c r="A260" s="416" t="s">
        <v>1350</v>
      </c>
      <c r="B260" s="417" t="s">
        <v>1612</v>
      </c>
      <c r="C260" s="417" t="s">
        <v>1400</v>
      </c>
      <c r="D260" s="416" t="s">
        <v>1613</v>
      </c>
      <c r="E260" s="417" t="s">
        <v>1416</v>
      </c>
      <c r="F260" s="418">
        <v>97.82</v>
      </c>
      <c r="G260" s="419">
        <v>6.12</v>
      </c>
      <c r="H260" s="418">
        <v>25</v>
      </c>
      <c r="I260" s="419">
        <v>7.65</v>
      </c>
      <c r="J260" s="419">
        <v>748.32</v>
      </c>
    </row>
    <row r="261" spans="1:10" s="237" customFormat="1" ht="28.5">
      <c r="A261" s="416" t="s">
        <v>1351</v>
      </c>
      <c r="B261" s="417" t="s">
        <v>1789</v>
      </c>
      <c r="C261" s="417" t="s">
        <v>1400</v>
      </c>
      <c r="D261" s="416" t="s">
        <v>1790</v>
      </c>
      <c r="E261" s="417" t="s">
        <v>1416</v>
      </c>
      <c r="F261" s="418">
        <v>13.18</v>
      </c>
      <c r="G261" s="419">
        <v>43.89</v>
      </c>
      <c r="H261" s="418">
        <v>25</v>
      </c>
      <c r="I261" s="419">
        <v>54.86</v>
      </c>
      <c r="J261" s="419">
        <v>723.05</v>
      </c>
    </row>
    <row r="262" spans="1:10" s="237" customFormat="1" ht="28.5">
      <c r="A262" s="416" t="s">
        <v>1352</v>
      </c>
      <c r="B262" s="417" t="s">
        <v>1791</v>
      </c>
      <c r="C262" s="417" t="s">
        <v>1400</v>
      </c>
      <c r="D262" s="416" t="s">
        <v>1792</v>
      </c>
      <c r="E262" s="417" t="s">
        <v>1416</v>
      </c>
      <c r="F262" s="418">
        <v>160.07</v>
      </c>
      <c r="G262" s="419">
        <v>56.05</v>
      </c>
      <c r="H262" s="418">
        <v>25</v>
      </c>
      <c r="I262" s="419">
        <v>70.06</v>
      </c>
      <c r="J262" s="419">
        <v>11214.5</v>
      </c>
    </row>
    <row r="263" spans="1:10" s="237" customFormat="1" ht="42.75">
      <c r="A263" s="416" t="s">
        <v>1353</v>
      </c>
      <c r="B263" s="417" t="s">
        <v>1793</v>
      </c>
      <c r="C263" s="417" t="s">
        <v>1400</v>
      </c>
      <c r="D263" s="416" t="s">
        <v>1794</v>
      </c>
      <c r="E263" s="417" t="s">
        <v>1416</v>
      </c>
      <c r="F263" s="418">
        <v>10.9</v>
      </c>
      <c r="G263" s="419">
        <v>152.94</v>
      </c>
      <c r="H263" s="418">
        <v>25</v>
      </c>
      <c r="I263" s="419">
        <v>191.18</v>
      </c>
      <c r="J263" s="419">
        <v>2083.86</v>
      </c>
    </row>
    <row r="264" spans="1:10" s="237" customFormat="1" ht="42.75">
      <c r="A264" s="416" t="s">
        <v>1354</v>
      </c>
      <c r="B264" s="417" t="s">
        <v>670</v>
      </c>
      <c r="C264" s="417" t="s">
        <v>1400</v>
      </c>
      <c r="D264" s="416" t="s">
        <v>1795</v>
      </c>
      <c r="E264" s="417" t="s">
        <v>1403</v>
      </c>
      <c r="F264" s="418">
        <v>11</v>
      </c>
      <c r="G264" s="419">
        <v>286.48</v>
      </c>
      <c r="H264" s="418">
        <v>25</v>
      </c>
      <c r="I264" s="419">
        <v>358.1</v>
      </c>
      <c r="J264" s="419">
        <v>3939.1</v>
      </c>
    </row>
    <row r="265" spans="1:10" s="237" customFormat="1" ht="28.5">
      <c r="A265" s="416" t="s">
        <v>1355</v>
      </c>
      <c r="B265" s="417" t="s">
        <v>1295</v>
      </c>
      <c r="C265" s="417" t="s">
        <v>1396</v>
      </c>
      <c r="D265" s="416" t="s">
        <v>1796</v>
      </c>
      <c r="E265" s="417" t="s">
        <v>1403</v>
      </c>
      <c r="F265" s="418">
        <v>10</v>
      </c>
      <c r="G265" s="419">
        <v>89.97</v>
      </c>
      <c r="H265" s="418">
        <v>25</v>
      </c>
      <c r="I265" s="419">
        <v>112.46</v>
      </c>
      <c r="J265" s="419">
        <v>1124.5999999999999</v>
      </c>
    </row>
    <row r="266" spans="1:10" s="237" customFormat="1" ht="42.75">
      <c r="A266" s="416" t="s">
        <v>1356</v>
      </c>
      <c r="B266" s="417" t="s">
        <v>672</v>
      </c>
      <c r="C266" s="417" t="s">
        <v>1400</v>
      </c>
      <c r="D266" s="416" t="s">
        <v>1797</v>
      </c>
      <c r="E266" s="417" t="s">
        <v>1403</v>
      </c>
      <c r="F266" s="418">
        <v>20</v>
      </c>
      <c r="G266" s="419">
        <v>7.28</v>
      </c>
      <c r="H266" s="418">
        <v>25</v>
      </c>
      <c r="I266" s="419">
        <v>9.1</v>
      </c>
      <c r="J266" s="419">
        <v>182</v>
      </c>
    </row>
    <row r="267" spans="1:10" s="237" customFormat="1" ht="57">
      <c r="A267" s="416" t="s">
        <v>1368</v>
      </c>
      <c r="B267" s="417" t="s">
        <v>1733</v>
      </c>
      <c r="C267" s="417" t="s">
        <v>1400</v>
      </c>
      <c r="D267" s="416" t="s">
        <v>1734</v>
      </c>
      <c r="E267" s="417" t="s">
        <v>1403</v>
      </c>
      <c r="F267" s="418">
        <v>8</v>
      </c>
      <c r="G267" s="419">
        <v>26.71</v>
      </c>
      <c r="H267" s="418">
        <v>25</v>
      </c>
      <c r="I267" s="419">
        <v>33.39</v>
      </c>
      <c r="J267" s="419">
        <v>267.12</v>
      </c>
    </row>
    <row r="268" spans="1:10" s="237" customFormat="1" ht="57">
      <c r="A268" s="416" t="s">
        <v>1357</v>
      </c>
      <c r="B268" s="417" t="s">
        <v>1735</v>
      </c>
      <c r="C268" s="417" t="s">
        <v>1400</v>
      </c>
      <c r="D268" s="416" t="s">
        <v>1736</v>
      </c>
      <c r="E268" s="417" t="s">
        <v>1403</v>
      </c>
      <c r="F268" s="418">
        <v>22</v>
      </c>
      <c r="G268" s="419">
        <v>32.020000000000003</v>
      </c>
      <c r="H268" s="418">
        <v>25</v>
      </c>
      <c r="I268" s="419">
        <v>40.03</v>
      </c>
      <c r="J268" s="419">
        <v>880.66</v>
      </c>
    </row>
    <row r="269" spans="1:10" s="237" customFormat="1" ht="42.75">
      <c r="A269" s="416" t="s">
        <v>1358</v>
      </c>
      <c r="B269" s="417" t="s">
        <v>674</v>
      </c>
      <c r="C269" s="417" t="s">
        <v>1400</v>
      </c>
      <c r="D269" s="416" t="s">
        <v>1651</v>
      </c>
      <c r="E269" s="417" t="s">
        <v>1403</v>
      </c>
      <c r="F269" s="418">
        <v>1</v>
      </c>
      <c r="G269" s="419">
        <v>6.42</v>
      </c>
      <c r="H269" s="418">
        <v>25</v>
      </c>
      <c r="I269" s="419">
        <v>8.0299999999999994</v>
      </c>
      <c r="J269" s="419">
        <v>8.0299999999999994</v>
      </c>
    </row>
    <row r="270" spans="1:10" s="237" customFormat="1" ht="57">
      <c r="A270" s="416" t="s">
        <v>1359</v>
      </c>
      <c r="B270" s="417" t="s">
        <v>1741</v>
      </c>
      <c r="C270" s="417" t="s">
        <v>1400</v>
      </c>
      <c r="D270" s="416" t="s">
        <v>1742</v>
      </c>
      <c r="E270" s="417" t="s">
        <v>1403</v>
      </c>
      <c r="F270" s="418">
        <v>1</v>
      </c>
      <c r="G270" s="419">
        <v>25.7</v>
      </c>
      <c r="H270" s="418">
        <v>25</v>
      </c>
      <c r="I270" s="419">
        <v>32.130000000000003</v>
      </c>
      <c r="J270" s="419">
        <v>32.130000000000003</v>
      </c>
    </row>
    <row r="271" spans="1:10" s="237" customFormat="1" ht="57">
      <c r="A271" s="416" t="s">
        <v>1360</v>
      </c>
      <c r="B271" s="417" t="s">
        <v>1743</v>
      </c>
      <c r="C271" s="417" t="s">
        <v>1400</v>
      </c>
      <c r="D271" s="416" t="s">
        <v>1744</v>
      </c>
      <c r="E271" s="417" t="s">
        <v>1403</v>
      </c>
      <c r="F271" s="418">
        <v>1</v>
      </c>
      <c r="G271" s="419">
        <v>31.15</v>
      </c>
      <c r="H271" s="418">
        <v>25</v>
      </c>
      <c r="I271" s="419">
        <v>38.94</v>
      </c>
      <c r="J271" s="419">
        <v>38.94</v>
      </c>
    </row>
    <row r="272" spans="1:10" s="237" customFormat="1" ht="57">
      <c r="A272" s="416" t="s">
        <v>1361</v>
      </c>
      <c r="B272" s="417" t="s">
        <v>1750</v>
      </c>
      <c r="C272" s="417" t="s">
        <v>1400</v>
      </c>
      <c r="D272" s="416" t="s">
        <v>1753</v>
      </c>
      <c r="E272" s="417" t="s">
        <v>1403</v>
      </c>
      <c r="F272" s="418">
        <v>1</v>
      </c>
      <c r="G272" s="419">
        <v>56.7</v>
      </c>
      <c r="H272" s="418">
        <v>25</v>
      </c>
      <c r="I272" s="419">
        <v>70.88</v>
      </c>
      <c r="J272" s="419">
        <v>70.88</v>
      </c>
    </row>
    <row r="273" spans="1:10" s="237" customFormat="1" ht="42.75">
      <c r="A273" s="416" t="s">
        <v>1362</v>
      </c>
      <c r="B273" s="417" t="s">
        <v>1756</v>
      </c>
      <c r="C273" s="417" t="s">
        <v>1400</v>
      </c>
      <c r="D273" s="416" t="s">
        <v>1757</v>
      </c>
      <c r="E273" s="417" t="s">
        <v>1403</v>
      </c>
      <c r="F273" s="418">
        <v>9</v>
      </c>
      <c r="G273" s="419">
        <v>17.2</v>
      </c>
      <c r="H273" s="418">
        <v>25</v>
      </c>
      <c r="I273" s="419">
        <v>21.5</v>
      </c>
      <c r="J273" s="419">
        <v>193.5</v>
      </c>
    </row>
    <row r="274" spans="1:10" s="237" customFormat="1" ht="57">
      <c r="A274" s="416" t="s">
        <v>1363</v>
      </c>
      <c r="B274" s="417" t="s">
        <v>1758</v>
      </c>
      <c r="C274" s="417" t="s">
        <v>1400</v>
      </c>
      <c r="D274" s="416" t="s">
        <v>1759</v>
      </c>
      <c r="E274" s="417" t="s">
        <v>1403</v>
      </c>
      <c r="F274" s="418">
        <v>23</v>
      </c>
      <c r="G274" s="419">
        <v>19.73</v>
      </c>
      <c r="H274" s="418">
        <v>25</v>
      </c>
      <c r="I274" s="419">
        <v>24.66</v>
      </c>
      <c r="J274" s="419">
        <v>567.17999999999995</v>
      </c>
    </row>
    <row r="275" spans="1:10" s="237" customFormat="1" ht="42.75">
      <c r="A275" s="416" t="s">
        <v>1364</v>
      </c>
      <c r="B275" s="417" t="s">
        <v>1772</v>
      </c>
      <c r="C275" s="417" t="s">
        <v>1400</v>
      </c>
      <c r="D275" s="416" t="s">
        <v>1773</v>
      </c>
      <c r="E275" s="417" t="s">
        <v>1403</v>
      </c>
      <c r="F275" s="418">
        <v>1</v>
      </c>
      <c r="G275" s="419">
        <v>55.61</v>
      </c>
      <c r="H275" s="418">
        <v>25</v>
      </c>
      <c r="I275" s="419">
        <v>69.510000000000005</v>
      </c>
      <c r="J275" s="419">
        <v>69.510000000000005</v>
      </c>
    </row>
    <row r="276" spans="1:10" s="237" customFormat="1" ht="42.75">
      <c r="A276" s="416" t="s">
        <v>1365</v>
      </c>
      <c r="B276" s="417" t="s">
        <v>1666</v>
      </c>
      <c r="C276" s="417" t="s">
        <v>1400</v>
      </c>
      <c r="D276" s="416" t="s">
        <v>1667</v>
      </c>
      <c r="E276" s="417" t="s">
        <v>1403</v>
      </c>
      <c r="F276" s="418">
        <v>1</v>
      </c>
      <c r="G276" s="419">
        <v>8.7200000000000006</v>
      </c>
      <c r="H276" s="418">
        <v>25</v>
      </c>
      <c r="I276" s="419">
        <v>10.9</v>
      </c>
      <c r="J276" s="419">
        <v>10.9</v>
      </c>
    </row>
    <row r="277" spans="1:10" s="237" customFormat="1" ht="15" customHeight="1">
      <c r="A277" s="241" t="s">
        <v>1798</v>
      </c>
      <c r="B277" s="242" t="s">
        <v>61</v>
      </c>
      <c r="C277" s="242"/>
      <c r="D277" s="242"/>
      <c r="E277" s="242"/>
      <c r="F277" s="242"/>
      <c r="G277" s="242"/>
      <c r="H277" s="242"/>
      <c r="I277" s="242"/>
      <c r="J277" s="243">
        <v>54110.59</v>
      </c>
    </row>
    <row r="278" spans="1:10" s="237" customFormat="1" ht="28.5">
      <c r="A278" s="416" t="s">
        <v>240</v>
      </c>
      <c r="B278" s="417" t="s">
        <v>1799</v>
      </c>
      <c r="C278" s="417" t="s">
        <v>1400</v>
      </c>
      <c r="D278" s="416" t="s">
        <v>1800</v>
      </c>
      <c r="E278" s="417" t="s">
        <v>1403</v>
      </c>
      <c r="F278" s="418">
        <v>8</v>
      </c>
      <c r="G278" s="419">
        <v>100.02</v>
      </c>
      <c r="H278" s="418">
        <v>25</v>
      </c>
      <c r="I278" s="419">
        <v>125.03</v>
      </c>
      <c r="J278" s="419">
        <v>1000.24</v>
      </c>
    </row>
    <row r="279" spans="1:10" s="237" customFormat="1" ht="28.5">
      <c r="A279" s="416" t="s">
        <v>241</v>
      </c>
      <c r="B279" s="417" t="s">
        <v>1801</v>
      </c>
      <c r="C279" s="417" t="s">
        <v>1400</v>
      </c>
      <c r="D279" s="416" t="s">
        <v>1802</v>
      </c>
      <c r="E279" s="417" t="s">
        <v>1403</v>
      </c>
      <c r="F279" s="418">
        <v>13</v>
      </c>
      <c r="G279" s="419">
        <v>611.83000000000004</v>
      </c>
      <c r="H279" s="418">
        <v>25</v>
      </c>
      <c r="I279" s="419">
        <v>764.79</v>
      </c>
      <c r="J279" s="419">
        <v>9942.27</v>
      </c>
    </row>
    <row r="280" spans="1:10" s="237" customFormat="1" ht="42.75">
      <c r="A280" s="416" t="s">
        <v>242</v>
      </c>
      <c r="B280" s="417" t="s">
        <v>1803</v>
      </c>
      <c r="C280" s="417" t="s">
        <v>1400</v>
      </c>
      <c r="D280" s="416" t="s">
        <v>1804</v>
      </c>
      <c r="E280" s="417" t="s">
        <v>1403</v>
      </c>
      <c r="F280" s="418">
        <v>4</v>
      </c>
      <c r="G280" s="419">
        <v>562.02</v>
      </c>
      <c r="H280" s="418">
        <v>25</v>
      </c>
      <c r="I280" s="419">
        <v>702.53</v>
      </c>
      <c r="J280" s="419">
        <v>2810.12</v>
      </c>
    </row>
    <row r="281" spans="1:10" s="237" customFormat="1" ht="28.5">
      <c r="A281" s="416" t="s">
        <v>243</v>
      </c>
      <c r="B281" s="417" t="s">
        <v>1805</v>
      </c>
      <c r="C281" s="417" t="s">
        <v>1400</v>
      </c>
      <c r="D281" s="416" t="s">
        <v>1806</v>
      </c>
      <c r="E281" s="417" t="s">
        <v>1403</v>
      </c>
      <c r="F281" s="418">
        <v>17</v>
      </c>
      <c r="G281" s="419">
        <v>45.32</v>
      </c>
      <c r="H281" s="418">
        <v>25</v>
      </c>
      <c r="I281" s="419">
        <v>56.65</v>
      </c>
      <c r="J281" s="419">
        <v>963.05</v>
      </c>
    </row>
    <row r="282" spans="1:10" s="237" customFormat="1" ht="42.75">
      <c r="A282" s="416" t="s">
        <v>244</v>
      </c>
      <c r="B282" s="417" t="s">
        <v>1807</v>
      </c>
      <c r="C282" s="417" t="s">
        <v>1400</v>
      </c>
      <c r="D282" s="416" t="s">
        <v>1808</v>
      </c>
      <c r="E282" s="417" t="s">
        <v>1403</v>
      </c>
      <c r="F282" s="418">
        <v>2</v>
      </c>
      <c r="G282" s="419">
        <v>164.41</v>
      </c>
      <c r="H282" s="418">
        <v>25</v>
      </c>
      <c r="I282" s="419">
        <v>205.51</v>
      </c>
      <c r="J282" s="419">
        <v>411.02</v>
      </c>
    </row>
    <row r="283" spans="1:10" s="237" customFormat="1" ht="28.5">
      <c r="A283" s="416" t="s">
        <v>301</v>
      </c>
      <c r="B283" s="417" t="s">
        <v>1809</v>
      </c>
      <c r="C283" s="417" t="s">
        <v>1400</v>
      </c>
      <c r="D283" s="416" t="s">
        <v>1810</v>
      </c>
      <c r="E283" s="417" t="s">
        <v>1403</v>
      </c>
      <c r="F283" s="418">
        <v>18</v>
      </c>
      <c r="G283" s="419">
        <v>162.74</v>
      </c>
      <c r="H283" s="418">
        <v>25</v>
      </c>
      <c r="I283" s="419">
        <v>203.43</v>
      </c>
      <c r="J283" s="419">
        <v>3661.74</v>
      </c>
    </row>
    <row r="284" spans="1:10" s="237" customFormat="1" ht="42.75">
      <c r="A284" s="416" t="s">
        <v>245</v>
      </c>
      <c r="B284" s="417" t="s">
        <v>1811</v>
      </c>
      <c r="C284" s="417" t="s">
        <v>1400</v>
      </c>
      <c r="D284" s="416" t="s">
        <v>1812</v>
      </c>
      <c r="E284" s="417" t="s">
        <v>1403</v>
      </c>
      <c r="F284" s="418">
        <v>1</v>
      </c>
      <c r="G284" s="419">
        <v>398.85</v>
      </c>
      <c r="H284" s="418">
        <v>25</v>
      </c>
      <c r="I284" s="419">
        <v>498.56</v>
      </c>
      <c r="J284" s="419">
        <v>498.56</v>
      </c>
    </row>
    <row r="285" spans="1:10" s="237" customFormat="1" ht="57">
      <c r="A285" s="416" t="s">
        <v>174</v>
      </c>
      <c r="B285" s="417" t="s">
        <v>1813</v>
      </c>
      <c r="C285" s="417" t="s">
        <v>1400</v>
      </c>
      <c r="D285" s="416" t="s">
        <v>1814</v>
      </c>
      <c r="E285" s="417" t="s">
        <v>1403</v>
      </c>
      <c r="F285" s="418">
        <v>3</v>
      </c>
      <c r="G285" s="419">
        <v>888.97</v>
      </c>
      <c r="H285" s="418">
        <v>25</v>
      </c>
      <c r="I285" s="419">
        <v>1111.21</v>
      </c>
      <c r="J285" s="419">
        <v>3333.63</v>
      </c>
    </row>
    <row r="286" spans="1:10" s="237" customFormat="1" ht="42.75">
      <c r="A286" s="416" t="s">
        <v>246</v>
      </c>
      <c r="B286" s="417" t="s">
        <v>1815</v>
      </c>
      <c r="C286" s="417" t="s">
        <v>1400</v>
      </c>
      <c r="D286" s="416" t="s">
        <v>1816</v>
      </c>
      <c r="E286" s="417" t="s">
        <v>1403</v>
      </c>
      <c r="F286" s="418">
        <v>11</v>
      </c>
      <c r="G286" s="419">
        <v>481.3</v>
      </c>
      <c r="H286" s="418">
        <v>25</v>
      </c>
      <c r="I286" s="419">
        <v>601.63</v>
      </c>
      <c r="J286" s="419">
        <v>6617.93</v>
      </c>
    </row>
    <row r="287" spans="1:10" s="237" customFormat="1" ht="42.75">
      <c r="A287" s="416" t="s">
        <v>175</v>
      </c>
      <c r="B287" s="417" t="s">
        <v>1817</v>
      </c>
      <c r="C287" s="417" t="s">
        <v>1400</v>
      </c>
      <c r="D287" s="416" t="s">
        <v>1818</v>
      </c>
      <c r="E287" s="417" t="s">
        <v>1403</v>
      </c>
      <c r="F287" s="418">
        <v>21</v>
      </c>
      <c r="G287" s="419">
        <v>70.849999999999994</v>
      </c>
      <c r="H287" s="418">
        <v>25</v>
      </c>
      <c r="I287" s="419">
        <v>88.56</v>
      </c>
      <c r="J287" s="419">
        <v>1859.76</v>
      </c>
    </row>
    <row r="288" spans="1:10" s="237" customFormat="1" ht="42.75">
      <c r="A288" s="416" t="s">
        <v>247</v>
      </c>
      <c r="B288" s="417" t="s">
        <v>1819</v>
      </c>
      <c r="C288" s="417" t="s">
        <v>1400</v>
      </c>
      <c r="D288" s="416" t="s">
        <v>1820</v>
      </c>
      <c r="E288" s="417" t="s">
        <v>1403</v>
      </c>
      <c r="F288" s="418">
        <v>1</v>
      </c>
      <c r="G288" s="419">
        <v>120.45</v>
      </c>
      <c r="H288" s="418">
        <v>25</v>
      </c>
      <c r="I288" s="419">
        <v>150.56</v>
      </c>
      <c r="J288" s="419">
        <v>150.56</v>
      </c>
    </row>
    <row r="289" spans="1:10" s="237" customFormat="1" ht="42.75">
      <c r="A289" s="416" t="s">
        <v>248</v>
      </c>
      <c r="B289" s="417" t="s">
        <v>1821</v>
      </c>
      <c r="C289" s="417" t="s">
        <v>1400</v>
      </c>
      <c r="D289" s="416" t="s">
        <v>1822</v>
      </c>
      <c r="E289" s="417" t="s">
        <v>1403</v>
      </c>
      <c r="F289" s="418">
        <v>8</v>
      </c>
      <c r="G289" s="419">
        <v>123.03</v>
      </c>
      <c r="H289" s="418">
        <v>25</v>
      </c>
      <c r="I289" s="419">
        <v>153.79</v>
      </c>
      <c r="J289" s="419">
        <v>1230.32</v>
      </c>
    </row>
    <row r="290" spans="1:10" s="237" customFormat="1" ht="28.5">
      <c r="A290" s="416" t="s">
        <v>249</v>
      </c>
      <c r="B290" s="417" t="s">
        <v>1041</v>
      </c>
      <c r="C290" s="417" t="s">
        <v>1396</v>
      </c>
      <c r="D290" s="416" t="s">
        <v>1823</v>
      </c>
      <c r="E290" s="417" t="s">
        <v>1403</v>
      </c>
      <c r="F290" s="418">
        <v>2</v>
      </c>
      <c r="G290" s="419">
        <v>224.27</v>
      </c>
      <c r="H290" s="418">
        <v>25</v>
      </c>
      <c r="I290" s="419">
        <v>280.33999999999997</v>
      </c>
      <c r="J290" s="419">
        <v>560.67999999999995</v>
      </c>
    </row>
    <row r="291" spans="1:10" s="237" customFormat="1" ht="28.5">
      <c r="A291" s="416" t="s">
        <v>250</v>
      </c>
      <c r="B291" s="417" t="s">
        <v>1824</v>
      </c>
      <c r="C291" s="417" t="s">
        <v>1400</v>
      </c>
      <c r="D291" s="416" t="s">
        <v>1825</v>
      </c>
      <c r="E291" s="417" t="s">
        <v>1403</v>
      </c>
      <c r="F291" s="418">
        <v>17</v>
      </c>
      <c r="G291" s="419">
        <v>64.069999999999993</v>
      </c>
      <c r="H291" s="418">
        <v>25</v>
      </c>
      <c r="I291" s="419">
        <v>80.09</v>
      </c>
      <c r="J291" s="419">
        <v>1361.53</v>
      </c>
    </row>
    <row r="292" spans="1:10" s="237" customFormat="1" ht="42.75">
      <c r="A292" s="416" t="s">
        <v>251</v>
      </c>
      <c r="B292" s="417" t="s">
        <v>1826</v>
      </c>
      <c r="C292" s="417" t="s">
        <v>1400</v>
      </c>
      <c r="D292" s="416" t="s">
        <v>1827</v>
      </c>
      <c r="E292" s="417" t="s">
        <v>1403</v>
      </c>
      <c r="F292" s="418">
        <v>2</v>
      </c>
      <c r="G292" s="419">
        <v>275.45999999999998</v>
      </c>
      <c r="H292" s="418">
        <v>25</v>
      </c>
      <c r="I292" s="419">
        <v>344.33</v>
      </c>
      <c r="J292" s="419">
        <v>688.66</v>
      </c>
    </row>
    <row r="293" spans="1:10" s="237" customFormat="1" ht="42.75">
      <c r="A293" s="416" t="s">
        <v>302</v>
      </c>
      <c r="B293" s="417" t="s">
        <v>1828</v>
      </c>
      <c r="C293" s="417" t="s">
        <v>1400</v>
      </c>
      <c r="D293" s="416" t="s">
        <v>1829</v>
      </c>
      <c r="E293" s="417" t="s">
        <v>1403</v>
      </c>
      <c r="F293" s="418">
        <v>4</v>
      </c>
      <c r="G293" s="419">
        <v>283.29000000000002</v>
      </c>
      <c r="H293" s="418">
        <v>25</v>
      </c>
      <c r="I293" s="419">
        <v>354.11</v>
      </c>
      <c r="J293" s="419">
        <v>1416.44</v>
      </c>
    </row>
    <row r="294" spans="1:10" s="237" customFormat="1" ht="28.5">
      <c r="A294" s="416" t="s">
        <v>252</v>
      </c>
      <c r="B294" s="417" t="s">
        <v>1830</v>
      </c>
      <c r="C294" s="417" t="s">
        <v>1400</v>
      </c>
      <c r="D294" s="416" t="s">
        <v>1831</v>
      </c>
      <c r="E294" s="417" t="s">
        <v>1416</v>
      </c>
      <c r="F294" s="418">
        <v>5.0999999999999996</v>
      </c>
      <c r="G294" s="419">
        <v>110.23</v>
      </c>
      <c r="H294" s="418">
        <v>25</v>
      </c>
      <c r="I294" s="419">
        <v>137.79</v>
      </c>
      <c r="J294" s="419">
        <v>702.73</v>
      </c>
    </row>
    <row r="295" spans="1:10" s="237" customFormat="1" ht="71.25">
      <c r="A295" s="416" t="s">
        <v>303</v>
      </c>
      <c r="B295" s="417" t="s">
        <v>1832</v>
      </c>
      <c r="C295" s="417" t="s">
        <v>1400</v>
      </c>
      <c r="D295" s="416" t="s">
        <v>1833</v>
      </c>
      <c r="E295" s="417" t="s">
        <v>1416</v>
      </c>
      <c r="F295" s="418">
        <v>5.56</v>
      </c>
      <c r="G295" s="419">
        <v>650.65</v>
      </c>
      <c r="H295" s="418">
        <v>25</v>
      </c>
      <c r="I295" s="419">
        <v>813.31</v>
      </c>
      <c r="J295" s="419">
        <v>4522</v>
      </c>
    </row>
    <row r="296" spans="1:10" s="237" customFormat="1" ht="28.5">
      <c r="A296" s="416" t="s">
        <v>304</v>
      </c>
      <c r="B296" s="417" t="s">
        <v>182</v>
      </c>
      <c r="C296" s="417" t="s">
        <v>1396</v>
      </c>
      <c r="D296" s="416" t="s">
        <v>1834</v>
      </c>
      <c r="E296" s="417" t="s">
        <v>1403</v>
      </c>
      <c r="F296" s="418">
        <v>21</v>
      </c>
      <c r="G296" s="419">
        <v>48.85</v>
      </c>
      <c r="H296" s="418">
        <v>25</v>
      </c>
      <c r="I296" s="419">
        <v>61.06</v>
      </c>
      <c r="J296" s="419">
        <v>1282.26</v>
      </c>
    </row>
    <row r="297" spans="1:10" s="237" customFormat="1" ht="42.75">
      <c r="A297" s="416" t="s">
        <v>305</v>
      </c>
      <c r="B297" s="417" t="s">
        <v>1835</v>
      </c>
      <c r="C297" s="417" t="s">
        <v>1400</v>
      </c>
      <c r="D297" s="416" t="s">
        <v>1836</v>
      </c>
      <c r="E297" s="417" t="s">
        <v>1403</v>
      </c>
      <c r="F297" s="418">
        <v>21</v>
      </c>
      <c r="G297" s="419">
        <v>55.56</v>
      </c>
      <c r="H297" s="418">
        <v>25</v>
      </c>
      <c r="I297" s="419">
        <v>69.45</v>
      </c>
      <c r="J297" s="419">
        <v>1458.45</v>
      </c>
    </row>
    <row r="298" spans="1:10" s="237" customFormat="1" ht="28.5">
      <c r="A298" s="416" t="s">
        <v>306</v>
      </c>
      <c r="B298" s="417" t="s">
        <v>1263</v>
      </c>
      <c r="C298" s="417" t="s">
        <v>1396</v>
      </c>
      <c r="D298" s="416" t="s">
        <v>994</v>
      </c>
      <c r="E298" s="417" t="s">
        <v>1403</v>
      </c>
      <c r="F298" s="418">
        <v>2</v>
      </c>
      <c r="G298" s="419">
        <v>127.16</v>
      </c>
      <c r="H298" s="418">
        <v>25</v>
      </c>
      <c r="I298" s="419">
        <v>158.94999999999999</v>
      </c>
      <c r="J298" s="419">
        <v>317.89999999999998</v>
      </c>
    </row>
    <row r="299" spans="1:10" s="237" customFormat="1" ht="42.75">
      <c r="A299" s="416" t="s">
        <v>307</v>
      </c>
      <c r="B299" s="417" t="s">
        <v>1230</v>
      </c>
      <c r="C299" s="417" t="s">
        <v>1396</v>
      </c>
      <c r="D299" s="416" t="s">
        <v>1229</v>
      </c>
      <c r="E299" s="417" t="s">
        <v>1403</v>
      </c>
      <c r="F299" s="418">
        <v>143</v>
      </c>
      <c r="G299" s="419">
        <v>52.14</v>
      </c>
      <c r="H299" s="418">
        <v>25</v>
      </c>
      <c r="I299" s="419">
        <v>65.180000000000007</v>
      </c>
      <c r="J299" s="419">
        <v>9320.74</v>
      </c>
    </row>
    <row r="300" spans="1:10" s="237" customFormat="1" ht="15" customHeight="1">
      <c r="A300" s="241" t="s">
        <v>1837</v>
      </c>
      <c r="B300" s="242" t="s">
        <v>62</v>
      </c>
      <c r="C300" s="242"/>
      <c r="D300" s="242"/>
      <c r="E300" s="242"/>
      <c r="F300" s="242"/>
      <c r="G300" s="242"/>
      <c r="H300" s="242"/>
      <c r="I300" s="242"/>
      <c r="J300" s="243">
        <v>9558.98</v>
      </c>
    </row>
    <row r="301" spans="1:10" s="237" customFormat="1" ht="57">
      <c r="A301" s="416" t="s">
        <v>675</v>
      </c>
      <c r="B301" s="417" t="s">
        <v>1838</v>
      </c>
      <c r="C301" s="417" t="s">
        <v>1400</v>
      </c>
      <c r="D301" s="416" t="s">
        <v>1839</v>
      </c>
      <c r="E301" s="417" t="s">
        <v>1416</v>
      </c>
      <c r="F301" s="418">
        <v>1.1299999999999999</v>
      </c>
      <c r="G301" s="419">
        <v>30.18</v>
      </c>
      <c r="H301" s="418">
        <v>25</v>
      </c>
      <c r="I301" s="419">
        <v>37.729999999999997</v>
      </c>
      <c r="J301" s="419">
        <v>42.63</v>
      </c>
    </row>
    <row r="302" spans="1:10" s="237" customFormat="1" ht="57">
      <c r="A302" s="416" t="s">
        <v>677</v>
      </c>
      <c r="B302" s="417" t="s">
        <v>1840</v>
      </c>
      <c r="C302" s="417" t="s">
        <v>1400</v>
      </c>
      <c r="D302" s="416" t="s">
        <v>1841</v>
      </c>
      <c r="E302" s="417" t="s">
        <v>1416</v>
      </c>
      <c r="F302" s="418">
        <v>29.63</v>
      </c>
      <c r="G302" s="419">
        <v>43.17</v>
      </c>
      <c r="H302" s="418">
        <v>25</v>
      </c>
      <c r="I302" s="419">
        <v>53.96</v>
      </c>
      <c r="J302" s="419">
        <v>1598.83</v>
      </c>
    </row>
    <row r="303" spans="1:10" s="237" customFormat="1" ht="42.75">
      <c r="A303" s="416" t="s">
        <v>679</v>
      </c>
      <c r="B303" s="417" t="s">
        <v>1842</v>
      </c>
      <c r="C303" s="417" t="s">
        <v>1400</v>
      </c>
      <c r="D303" s="416" t="s">
        <v>1843</v>
      </c>
      <c r="E303" s="417" t="s">
        <v>1416</v>
      </c>
      <c r="F303" s="418">
        <v>0.51</v>
      </c>
      <c r="G303" s="419">
        <v>106.35</v>
      </c>
      <c r="H303" s="418">
        <v>25</v>
      </c>
      <c r="I303" s="419">
        <v>132.94</v>
      </c>
      <c r="J303" s="419">
        <v>67.8</v>
      </c>
    </row>
    <row r="304" spans="1:10" s="237" customFormat="1" ht="42.75">
      <c r="A304" s="416" t="s">
        <v>681</v>
      </c>
      <c r="B304" s="417" t="s">
        <v>1844</v>
      </c>
      <c r="C304" s="417" t="s">
        <v>1400</v>
      </c>
      <c r="D304" s="416" t="s">
        <v>1845</v>
      </c>
      <c r="E304" s="417" t="s">
        <v>1403</v>
      </c>
      <c r="F304" s="418">
        <v>6</v>
      </c>
      <c r="G304" s="419">
        <v>40.200000000000003</v>
      </c>
      <c r="H304" s="418">
        <v>25</v>
      </c>
      <c r="I304" s="419">
        <v>50.25</v>
      </c>
      <c r="J304" s="419">
        <v>301.5</v>
      </c>
    </row>
    <row r="305" spans="1:10" s="237" customFormat="1" ht="42.75">
      <c r="A305" s="416" t="s">
        <v>682</v>
      </c>
      <c r="B305" s="417" t="s">
        <v>1846</v>
      </c>
      <c r="C305" s="417" t="s">
        <v>1400</v>
      </c>
      <c r="D305" s="416" t="s">
        <v>1847</v>
      </c>
      <c r="E305" s="417" t="s">
        <v>1403</v>
      </c>
      <c r="F305" s="418">
        <v>3</v>
      </c>
      <c r="G305" s="419">
        <v>84.43</v>
      </c>
      <c r="H305" s="418">
        <v>25</v>
      </c>
      <c r="I305" s="419">
        <v>105.54</v>
      </c>
      <c r="J305" s="419">
        <v>316.62</v>
      </c>
    </row>
    <row r="306" spans="1:10" s="237" customFormat="1" ht="14.25">
      <c r="A306" s="416" t="s">
        <v>684</v>
      </c>
      <c r="B306" s="417" t="s">
        <v>1043</v>
      </c>
      <c r="C306" s="417" t="s">
        <v>1396</v>
      </c>
      <c r="D306" s="416" t="s">
        <v>1848</v>
      </c>
      <c r="E306" s="417" t="s">
        <v>1403</v>
      </c>
      <c r="F306" s="418">
        <v>2</v>
      </c>
      <c r="G306" s="419">
        <v>17.96</v>
      </c>
      <c r="H306" s="418">
        <v>25</v>
      </c>
      <c r="I306" s="419">
        <v>22.45</v>
      </c>
      <c r="J306" s="419">
        <v>44.9</v>
      </c>
    </row>
    <row r="307" spans="1:10" s="237" customFormat="1" ht="57">
      <c r="A307" s="416" t="s">
        <v>686</v>
      </c>
      <c r="B307" s="417" t="s">
        <v>1849</v>
      </c>
      <c r="C307" s="417" t="s">
        <v>1400</v>
      </c>
      <c r="D307" s="416" t="s">
        <v>1850</v>
      </c>
      <c r="E307" s="417" t="s">
        <v>1403</v>
      </c>
      <c r="F307" s="418">
        <v>5</v>
      </c>
      <c r="G307" s="419">
        <v>20.83</v>
      </c>
      <c r="H307" s="418">
        <v>25</v>
      </c>
      <c r="I307" s="419">
        <v>26.04</v>
      </c>
      <c r="J307" s="419">
        <v>130.19999999999999</v>
      </c>
    </row>
    <row r="308" spans="1:10" s="237" customFormat="1" ht="57">
      <c r="A308" s="416" t="s">
        <v>687</v>
      </c>
      <c r="B308" s="417" t="s">
        <v>1851</v>
      </c>
      <c r="C308" s="417" t="s">
        <v>1400</v>
      </c>
      <c r="D308" s="416" t="s">
        <v>1852</v>
      </c>
      <c r="E308" s="417" t="s">
        <v>1403</v>
      </c>
      <c r="F308" s="418">
        <v>1</v>
      </c>
      <c r="G308" s="419">
        <v>29.37</v>
      </c>
      <c r="H308" s="418">
        <v>25</v>
      </c>
      <c r="I308" s="419">
        <v>36.71</v>
      </c>
      <c r="J308" s="419">
        <v>36.71</v>
      </c>
    </row>
    <row r="309" spans="1:10" s="237" customFormat="1" ht="114">
      <c r="A309" s="416" t="s">
        <v>688</v>
      </c>
      <c r="B309" s="417" t="s">
        <v>995</v>
      </c>
      <c r="C309" s="417" t="s">
        <v>1099</v>
      </c>
      <c r="D309" s="416" t="s">
        <v>1853</v>
      </c>
      <c r="E309" s="417" t="s">
        <v>1403</v>
      </c>
      <c r="F309" s="418">
        <v>1</v>
      </c>
      <c r="G309" s="419">
        <v>4757.43</v>
      </c>
      <c r="H309" s="418">
        <v>25</v>
      </c>
      <c r="I309" s="419">
        <v>5946.79</v>
      </c>
      <c r="J309" s="419">
        <v>5946.79</v>
      </c>
    </row>
    <row r="310" spans="1:10" s="237" customFormat="1" ht="28.5">
      <c r="A310" s="416" t="s">
        <v>689</v>
      </c>
      <c r="B310" s="417" t="s">
        <v>1854</v>
      </c>
      <c r="C310" s="417" t="s">
        <v>1396</v>
      </c>
      <c r="D310" s="416" t="s">
        <v>1855</v>
      </c>
      <c r="E310" s="417" t="s">
        <v>1416</v>
      </c>
      <c r="F310" s="418">
        <v>50</v>
      </c>
      <c r="G310" s="419">
        <v>17.170000000000002</v>
      </c>
      <c r="H310" s="418">
        <v>25</v>
      </c>
      <c r="I310" s="419">
        <v>21.46</v>
      </c>
      <c r="J310" s="419">
        <v>1073</v>
      </c>
    </row>
    <row r="311" spans="1:10" s="237" customFormat="1" ht="15" customHeight="1">
      <c r="A311" s="241" t="s">
        <v>1856</v>
      </c>
      <c r="B311" s="242" t="s">
        <v>63</v>
      </c>
      <c r="C311" s="242"/>
      <c r="D311" s="242"/>
      <c r="E311" s="242"/>
      <c r="F311" s="242"/>
      <c r="G311" s="242"/>
      <c r="H311" s="242"/>
      <c r="I311" s="242"/>
      <c r="J311" s="243">
        <v>42510.2</v>
      </c>
    </row>
    <row r="312" spans="1:10" s="237" customFormat="1" ht="42.75">
      <c r="A312" s="416" t="s">
        <v>690</v>
      </c>
      <c r="B312" s="417" t="s">
        <v>1857</v>
      </c>
      <c r="C312" s="417" t="s">
        <v>1400</v>
      </c>
      <c r="D312" s="416" t="s">
        <v>1858</v>
      </c>
      <c r="E312" s="417" t="s">
        <v>1403</v>
      </c>
      <c r="F312" s="418">
        <v>6</v>
      </c>
      <c r="G312" s="419">
        <v>300.79000000000002</v>
      </c>
      <c r="H312" s="418">
        <v>25</v>
      </c>
      <c r="I312" s="419">
        <v>375.99</v>
      </c>
      <c r="J312" s="419">
        <v>2255.94</v>
      </c>
    </row>
    <row r="313" spans="1:10" s="237" customFormat="1" ht="42.75">
      <c r="A313" s="416" t="s">
        <v>692</v>
      </c>
      <c r="B313" s="417" t="s">
        <v>1859</v>
      </c>
      <c r="C313" s="417" t="s">
        <v>1400</v>
      </c>
      <c r="D313" s="416" t="s">
        <v>1860</v>
      </c>
      <c r="E313" s="417" t="s">
        <v>1403</v>
      </c>
      <c r="F313" s="418">
        <v>1</v>
      </c>
      <c r="G313" s="419">
        <v>840.79</v>
      </c>
      <c r="H313" s="418">
        <v>25</v>
      </c>
      <c r="I313" s="419">
        <v>1050.99</v>
      </c>
      <c r="J313" s="419">
        <v>1050.99</v>
      </c>
    </row>
    <row r="314" spans="1:10" s="237" customFormat="1" ht="28.5">
      <c r="A314" s="416" t="s">
        <v>694</v>
      </c>
      <c r="B314" s="417" t="s">
        <v>1861</v>
      </c>
      <c r="C314" s="417" t="s">
        <v>1400</v>
      </c>
      <c r="D314" s="416" t="s">
        <v>1862</v>
      </c>
      <c r="E314" s="417" t="s">
        <v>1403</v>
      </c>
      <c r="F314" s="418">
        <v>45</v>
      </c>
      <c r="G314" s="419">
        <v>28.72</v>
      </c>
      <c r="H314" s="418">
        <v>25</v>
      </c>
      <c r="I314" s="419">
        <v>35.9</v>
      </c>
      <c r="J314" s="419">
        <v>1615.5</v>
      </c>
    </row>
    <row r="315" spans="1:10" s="237" customFormat="1" ht="28.5">
      <c r="A315" s="416" t="s">
        <v>696</v>
      </c>
      <c r="B315" s="417" t="s">
        <v>1607</v>
      </c>
      <c r="C315" s="417" t="s">
        <v>1400</v>
      </c>
      <c r="D315" s="416" t="s">
        <v>1608</v>
      </c>
      <c r="E315" s="417" t="s">
        <v>1398</v>
      </c>
      <c r="F315" s="418">
        <v>11.99</v>
      </c>
      <c r="G315" s="419">
        <v>77.650000000000006</v>
      </c>
      <c r="H315" s="418">
        <v>25</v>
      </c>
      <c r="I315" s="419">
        <v>97.06</v>
      </c>
      <c r="J315" s="419">
        <v>1163.75</v>
      </c>
    </row>
    <row r="316" spans="1:10" s="237" customFormat="1" ht="57">
      <c r="A316" s="416" t="s">
        <v>701</v>
      </c>
      <c r="B316" s="417" t="s">
        <v>1863</v>
      </c>
      <c r="C316" s="417" t="s">
        <v>1396</v>
      </c>
      <c r="D316" s="416" t="s">
        <v>1864</v>
      </c>
      <c r="E316" s="417" t="s">
        <v>1403</v>
      </c>
      <c r="F316" s="418">
        <v>44</v>
      </c>
      <c r="G316" s="419">
        <v>47.39</v>
      </c>
      <c r="H316" s="418">
        <v>25</v>
      </c>
      <c r="I316" s="419">
        <v>59.24</v>
      </c>
      <c r="J316" s="419">
        <v>2606.56</v>
      </c>
    </row>
    <row r="317" spans="1:10" s="237" customFormat="1" ht="57">
      <c r="A317" s="416" t="s">
        <v>705</v>
      </c>
      <c r="B317" s="417" t="s">
        <v>1047</v>
      </c>
      <c r="C317" s="417" t="s">
        <v>1396</v>
      </c>
      <c r="D317" s="416" t="s">
        <v>1371</v>
      </c>
      <c r="E317" s="417" t="s">
        <v>1403</v>
      </c>
      <c r="F317" s="418">
        <v>18</v>
      </c>
      <c r="G317" s="419">
        <v>53.95</v>
      </c>
      <c r="H317" s="418">
        <v>25</v>
      </c>
      <c r="I317" s="419">
        <v>67.44</v>
      </c>
      <c r="J317" s="419">
        <v>1213.92</v>
      </c>
    </row>
    <row r="318" spans="1:10" s="237" customFormat="1" ht="71.25">
      <c r="A318" s="416" t="s">
        <v>710</v>
      </c>
      <c r="B318" s="417" t="s">
        <v>1865</v>
      </c>
      <c r="C318" s="417" t="s">
        <v>1400</v>
      </c>
      <c r="D318" s="416" t="s">
        <v>1866</v>
      </c>
      <c r="E318" s="417" t="s">
        <v>1403</v>
      </c>
      <c r="F318" s="418">
        <v>2</v>
      </c>
      <c r="G318" s="419">
        <v>1635.07</v>
      </c>
      <c r="H318" s="418">
        <v>25</v>
      </c>
      <c r="I318" s="419">
        <v>2043.84</v>
      </c>
      <c r="J318" s="419">
        <v>4087.68</v>
      </c>
    </row>
    <row r="319" spans="1:10" s="237" customFormat="1" ht="28.5">
      <c r="A319" s="416" t="s">
        <v>712</v>
      </c>
      <c r="B319" s="417" t="s">
        <v>1867</v>
      </c>
      <c r="C319" s="417" t="s">
        <v>1400</v>
      </c>
      <c r="D319" s="416" t="s">
        <v>1868</v>
      </c>
      <c r="E319" s="417" t="s">
        <v>1403</v>
      </c>
      <c r="F319" s="418">
        <v>1</v>
      </c>
      <c r="G319" s="419">
        <v>3626.58</v>
      </c>
      <c r="H319" s="418">
        <v>25</v>
      </c>
      <c r="I319" s="419">
        <v>4533.2299999999996</v>
      </c>
      <c r="J319" s="419">
        <v>4533.2299999999996</v>
      </c>
    </row>
    <row r="320" spans="1:10" s="237" customFormat="1" ht="57">
      <c r="A320" s="416" t="s">
        <v>714</v>
      </c>
      <c r="B320" s="417" t="s">
        <v>1869</v>
      </c>
      <c r="C320" s="417" t="s">
        <v>1400</v>
      </c>
      <c r="D320" s="416" t="s">
        <v>1870</v>
      </c>
      <c r="E320" s="417" t="s">
        <v>1416</v>
      </c>
      <c r="F320" s="418">
        <v>0.52</v>
      </c>
      <c r="G320" s="419">
        <v>56.58</v>
      </c>
      <c r="H320" s="418">
        <v>25</v>
      </c>
      <c r="I320" s="419">
        <v>70.73</v>
      </c>
      <c r="J320" s="419">
        <v>36.78</v>
      </c>
    </row>
    <row r="321" spans="1:10" s="237" customFormat="1" ht="57">
      <c r="A321" s="416" t="s">
        <v>716</v>
      </c>
      <c r="B321" s="417" t="s">
        <v>1871</v>
      </c>
      <c r="C321" s="417" t="s">
        <v>1400</v>
      </c>
      <c r="D321" s="416" t="s">
        <v>1872</v>
      </c>
      <c r="E321" s="417" t="s">
        <v>1416</v>
      </c>
      <c r="F321" s="418">
        <v>89.23</v>
      </c>
      <c r="G321" s="419">
        <v>109.64</v>
      </c>
      <c r="H321" s="418">
        <v>25</v>
      </c>
      <c r="I321" s="419">
        <v>137.05000000000001</v>
      </c>
      <c r="J321" s="419">
        <v>12228.97</v>
      </c>
    </row>
    <row r="322" spans="1:10" s="237" customFormat="1" ht="57">
      <c r="A322" s="416" t="s">
        <v>718</v>
      </c>
      <c r="B322" s="417" t="s">
        <v>1873</v>
      </c>
      <c r="C322" s="417" t="s">
        <v>1400</v>
      </c>
      <c r="D322" s="416" t="s">
        <v>1874</v>
      </c>
      <c r="E322" s="417" t="s">
        <v>1403</v>
      </c>
      <c r="F322" s="418">
        <v>21</v>
      </c>
      <c r="G322" s="419">
        <v>83.81</v>
      </c>
      <c r="H322" s="418">
        <v>25</v>
      </c>
      <c r="I322" s="419">
        <v>104.76</v>
      </c>
      <c r="J322" s="419">
        <v>2199.96</v>
      </c>
    </row>
    <row r="323" spans="1:10" s="237" customFormat="1" ht="28.5">
      <c r="A323" s="416" t="s">
        <v>720</v>
      </c>
      <c r="B323" s="417" t="s">
        <v>1697</v>
      </c>
      <c r="C323" s="417" t="s">
        <v>1400</v>
      </c>
      <c r="D323" s="416" t="s">
        <v>1698</v>
      </c>
      <c r="E323" s="417" t="s">
        <v>1403</v>
      </c>
      <c r="F323" s="418">
        <v>3</v>
      </c>
      <c r="G323" s="419">
        <v>196.73</v>
      </c>
      <c r="H323" s="418">
        <v>25</v>
      </c>
      <c r="I323" s="419">
        <v>245.91</v>
      </c>
      <c r="J323" s="419">
        <v>737.73</v>
      </c>
    </row>
    <row r="324" spans="1:10" s="237" customFormat="1" ht="42.75">
      <c r="A324" s="416" t="s">
        <v>722</v>
      </c>
      <c r="B324" s="417" t="s">
        <v>1875</v>
      </c>
      <c r="C324" s="417" t="s">
        <v>1400</v>
      </c>
      <c r="D324" s="416" t="s">
        <v>1876</v>
      </c>
      <c r="E324" s="417" t="s">
        <v>1403</v>
      </c>
      <c r="F324" s="418">
        <v>4</v>
      </c>
      <c r="G324" s="419">
        <v>258.51</v>
      </c>
      <c r="H324" s="418">
        <v>25</v>
      </c>
      <c r="I324" s="419">
        <v>323.14</v>
      </c>
      <c r="J324" s="419">
        <v>1292.56</v>
      </c>
    </row>
    <row r="325" spans="1:10" s="237" customFormat="1" ht="42.75">
      <c r="A325" s="416" t="s">
        <v>724</v>
      </c>
      <c r="B325" s="417" t="s">
        <v>1877</v>
      </c>
      <c r="C325" s="417" t="s">
        <v>1400</v>
      </c>
      <c r="D325" s="416" t="s">
        <v>1878</v>
      </c>
      <c r="E325" s="417" t="s">
        <v>1403</v>
      </c>
      <c r="F325" s="418">
        <v>5</v>
      </c>
      <c r="G325" s="419">
        <v>233.8</v>
      </c>
      <c r="H325" s="418">
        <v>25</v>
      </c>
      <c r="I325" s="419">
        <v>292.25</v>
      </c>
      <c r="J325" s="419">
        <v>1461.25</v>
      </c>
    </row>
    <row r="326" spans="1:10" s="237" customFormat="1" ht="28.5">
      <c r="A326" s="416" t="s">
        <v>726</v>
      </c>
      <c r="B326" s="417" t="s">
        <v>977</v>
      </c>
      <c r="C326" s="417" t="s">
        <v>1099</v>
      </c>
      <c r="D326" s="416" t="s">
        <v>1879</v>
      </c>
      <c r="E326" s="417" t="s">
        <v>1403</v>
      </c>
      <c r="F326" s="418">
        <v>2</v>
      </c>
      <c r="G326" s="419">
        <v>67.040000000000006</v>
      </c>
      <c r="H326" s="418">
        <v>25</v>
      </c>
      <c r="I326" s="419">
        <v>83.8</v>
      </c>
      <c r="J326" s="419">
        <v>167.6</v>
      </c>
    </row>
    <row r="327" spans="1:10" s="237" customFormat="1" ht="42.75">
      <c r="A327" s="416" t="s">
        <v>727</v>
      </c>
      <c r="B327" s="417" t="s">
        <v>978</v>
      </c>
      <c r="C327" s="417" t="s">
        <v>1099</v>
      </c>
      <c r="D327" s="416" t="s">
        <v>1880</v>
      </c>
      <c r="E327" s="417" t="s">
        <v>1403</v>
      </c>
      <c r="F327" s="418">
        <v>3</v>
      </c>
      <c r="G327" s="419">
        <v>95.56</v>
      </c>
      <c r="H327" s="418">
        <v>25</v>
      </c>
      <c r="I327" s="419">
        <v>119.45</v>
      </c>
      <c r="J327" s="419">
        <v>358.35</v>
      </c>
    </row>
    <row r="328" spans="1:10" s="237" customFormat="1" ht="14.25">
      <c r="A328" s="416" t="s">
        <v>1369</v>
      </c>
      <c r="B328" s="417" t="s">
        <v>1049</v>
      </c>
      <c r="C328" s="417" t="s">
        <v>1396</v>
      </c>
      <c r="D328" s="416" t="s">
        <v>1881</v>
      </c>
      <c r="E328" s="417" t="s">
        <v>1403</v>
      </c>
      <c r="F328" s="418">
        <v>1</v>
      </c>
      <c r="G328" s="419">
        <v>2530.9</v>
      </c>
      <c r="H328" s="418">
        <v>25</v>
      </c>
      <c r="I328" s="419">
        <v>3163.63</v>
      </c>
      <c r="J328" s="419">
        <v>3163.63</v>
      </c>
    </row>
    <row r="329" spans="1:10" s="237" customFormat="1" ht="42.75">
      <c r="A329" s="416" t="s">
        <v>728</v>
      </c>
      <c r="B329" s="417" t="s">
        <v>1882</v>
      </c>
      <c r="C329" s="417" t="s">
        <v>1400</v>
      </c>
      <c r="D329" s="416" t="s">
        <v>1883</v>
      </c>
      <c r="E329" s="417" t="s">
        <v>1403</v>
      </c>
      <c r="F329" s="418">
        <v>1</v>
      </c>
      <c r="G329" s="419">
        <v>372.99</v>
      </c>
      <c r="H329" s="418">
        <v>25</v>
      </c>
      <c r="I329" s="419">
        <v>466.24</v>
      </c>
      <c r="J329" s="419">
        <v>466.24</v>
      </c>
    </row>
    <row r="330" spans="1:10" s="237" customFormat="1" ht="57">
      <c r="A330" s="416" t="s">
        <v>729</v>
      </c>
      <c r="B330" s="417" t="s">
        <v>1709</v>
      </c>
      <c r="C330" s="417" t="s">
        <v>1400</v>
      </c>
      <c r="D330" s="416" t="s">
        <v>1710</v>
      </c>
      <c r="E330" s="417" t="s">
        <v>1403</v>
      </c>
      <c r="F330" s="418">
        <v>1</v>
      </c>
      <c r="G330" s="419">
        <v>1495.65</v>
      </c>
      <c r="H330" s="418">
        <v>25</v>
      </c>
      <c r="I330" s="419">
        <v>1869.56</v>
      </c>
      <c r="J330" s="419">
        <v>1869.56</v>
      </c>
    </row>
    <row r="331" spans="1:10" s="237" customFormat="1" ht="15" customHeight="1">
      <c r="A331" s="241" t="s">
        <v>1884</v>
      </c>
      <c r="B331" s="242" t="s">
        <v>1080</v>
      </c>
      <c r="C331" s="242"/>
      <c r="D331" s="242"/>
      <c r="E331" s="242"/>
      <c r="F331" s="242"/>
      <c r="G331" s="242"/>
      <c r="H331" s="242"/>
      <c r="I331" s="242"/>
      <c r="J331" s="243">
        <v>241975.18</v>
      </c>
    </row>
    <row r="332" spans="1:10" s="237" customFormat="1" ht="15" customHeight="1">
      <c r="A332" s="241" t="s">
        <v>732</v>
      </c>
      <c r="B332" s="242" t="s">
        <v>733</v>
      </c>
      <c r="C332" s="242"/>
      <c r="D332" s="242"/>
      <c r="E332" s="242"/>
      <c r="F332" s="242"/>
      <c r="G332" s="242"/>
      <c r="H332" s="242"/>
      <c r="I332" s="242"/>
      <c r="J332" s="243">
        <v>54141.86</v>
      </c>
    </row>
    <row r="333" spans="1:10" s="237" customFormat="1" ht="42.75">
      <c r="A333" s="416" t="s">
        <v>734</v>
      </c>
      <c r="B333" s="417" t="s">
        <v>1885</v>
      </c>
      <c r="C333" s="417" t="s">
        <v>1400</v>
      </c>
      <c r="D333" s="416" t="s">
        <v>1886</v>
      </c>
      <c r="E333" s="417" t="s">
        <v>1403</v>
      </c>
      <c r="F333" s="418">
        <v>1</v>
      </c>
      <c r="G333" s="419">
        <v>86.59</v>
      </c>
      <c r="H333" s="418">
        <v>25</v>
      </c>
      <c r="I333" s="419">
        <v>108.24</v>
      </c>
      <c r="J333" s="419">
        <v>108.24</v>
      </c>
    </row>
    <row r="334" spans="1:10" s="237" customFormat="1" ht="57">
      <c r="A334" s="416" t="s">
        <v>735</v>
      </c>
      <c r="B334" s="417" t="s">
        <v>1887</v>
      </c>
      <c r="C334" s="417" t="s">
        <v>1400</v>
      </c>
      <c r="D334" s="416" t="s">
        <v>1888</v>
      </c>
      <c r="E334" s="417" t="s">
        <v>1403</v>
      </c>
      <c r="F334" s="418">
        <v>1</v>
      </c>
      <c r="G334" s="419">
        <v>390.45</v>
      </c>
      <c r="H334" s="418">
        <v>25</v>
      </c>
      <c r="I334" s="419">
        <v>488.06</v>
      </c>
      <c r="J334" s="419">
        <v>488.06</v>
      </c>
    </row>
    <row r="335" spans="1:10" s="237" customFormat="1" ht="57">
      <c r="A335" s="416" t="s">
        <v>736</v>
      </c>
      <c r="B335" s="417" t="s">
        <v>1889</v>
      </c>
      <c r="C335" s="417" t="s">
        <v>1400</v>
      </c>
      <c r="D335" s="416" t="s">
        <v>1890</v>
      </c>
      <c r="E335" s="417" t="s">
        <v>1403</v>
      </c>
      <c r="F335" s="418">
        <v>1</v>
      </c>
      <c r="G335" s="419">
        <v>1305.74</v>
      </c>
      <c r="H335" s="418">
        <v>25</v>
      </c>
      <c r="I335" s="419">
        <v>1632.18</v>
      </c>
      <c r="J335" s="419">
        <v>1632.18</v>
      </c>
    </row>
    <row r="336" spans="1:10" s="237" customFormat="1" ht="57">
      <c r="A336" s="416" t="s">
        <v>738</v>
      </c>
      <c r="B336" s="417" t="s">
        <v>1891</v>
      </c>
      <c r="C336" s="417" t="s">
        <v>1400</v>
      </c>
      <c r="D336" s="416" t="s">
        <v>1892</v>
      </c>
      <c r="E336" s="417" t="s">
        <v>1403</v>
      </c>
      <c r="F336" s="418">
        <v>3</v>
      </c>
      <c r="G336" s="419">
        <v>924.27</v>
      </c>
      <c r="H336" s="418">
        <v>25</v>
      </c>
      <c r="I336" s="419">
        <v>1155.3399999999999</v>
      </c>
      <c r="J336" s="419">
        <v>3466.02</v>
      </c>
    </row>
    <row r="337" spans="1:10" s="237" customFormat="1" ht="57">
      <c r="A337" s="416" t="s">
        <v>1372</v>
      </c>
      <c r="B337" s="417" t="s">
        <v>981</v>
      </c>
      <c r="C337" s="417" t="s">
        <v>1099</v>
      </c>
      <c r="D337" s="416" t="s">
        <v>1893</v>
      </c>
      <c r="E337" s="417" t="s">
        <v>1403</v>
      </c>
      <c r="F337" s="418">
        <v>1</v>
      </c>
      <c r="G337" s="419">
        <v>38757.89</v>
      </c>
      <c r="H337" s="418">
        <v>25</v>
      </c>
      <c r="I337" s="419">
        <v>48447.360000000001</v>
      </c>
      <c r="J337" s="419">
        <v>48447.360000000001</v>
      </c>
    </row>
    <row r="338" spans="1:10" s="237" customFormat="1" ht="15" customHeight="1">
      <c r="A338" s="241" t="s">
        <v>739</v>
      </c>
      <c r="B338" s="242" t="s">
        <v>740</v>
      </c>
      <c r="C338" s="242"/>
      <c r="D338" s="242"/>
      <c r="E338" s="242"/>
      <c r="F338" s="242"/>
      <c r="G338" s="242"/>
      <c r="H338" s="242"/>
      <c r="I338" s="242"/>
      <c r="J338" s="243">
        <v>6166.92</v>
      </c>
    </row>
    <row r="339" spans="1:10" s="237" customFormat="1" ht="28.5">
      <c r="A339" s="416" t="s">
        <v>741</v>
      </c>
      <c r="B339" s="417" t="s">
        <v>1301</v>
      </c>
      <c r="C339" s="417" t="s">
        <v>1396</v>
      </c>
      <c r="D339" s="416" t="s">
        <v>1894</v>
      </c>
      <c r="E339" s="417" t="s">
        <v>1403</v>
      </c>
      <c r="F339" s="418">
        <v>4</v>
      </c>
      <c r="G339" s="419">
        <v>164.69</v>
      </c>
      <c r="H339" s="418">
        <v>25</v>
      </c>
      <c r="I339" s="419">
        <v>205.86</v>
      </c>
      <c r="J339" s="419">
        <v>823.44</v>
      </c>
    </row>
    <row r="340" spans="1:10" s="237" customFormat="1" ht="28.5">
      <c r="A340" s="416" t="s">
        <v>742</v>
      </c>
      <c r="B340" s="417" t="s">
        <v>1082</v>
      </c>
      <c r="C340" s="417" t="s">
        <v>1396</v>
      </c>
      <c r="D340" s="416" t="s">
        <v>1081</v>
      </c>
      <c r="E340" s="417" t="s">
        <v>1403</v>
      </c>
      <c r="F340" s="418">
        <v>7</v>
      </c>
      <c r="G340" s="419">
        <v>163.78</v>
      </c>
      <c r="H340" s="418">
        <v>25</v>
      </c>
      <c r="I340" s="419">
        <v>204.73</v>
      </c>
      <c r="J340" s="419">
        <v>1433.11</v>
      </c>
    </row>
    <row r="341" spans="1:10" s="237" customFormat="1" ht="28.5">
      <c r="A341" s="416" t="s">
        <v>743</v>
      </c>
      <c r="B341" s="417" t="s">
        <v>1303</v>
      </c>
      <c r="C341" s="417" t="s">
        <v>1396</v>
      </c>
      <c r="D341" s="416" t="s">
        <v>1302</v>
      </c>
      <c r="E341" s="417" t="s">
        <v>1403</v>
      </c>
      <c r="F341" s="418">
        <v>1</v>
      </c>
      <c r="G341" s="419">
        <v>163.87</v>
      </c>
      <c r="H341" s="418">
        <v>25</v>
      </c>
      <c r="I341" s="419">
        <v>204.84</v>
      </c>
      <c r="J341" s="419">
        <v>204.84</v>
      </c>
    </row>
    <row r="342" spans="1:10" s="237" customFormat="1" ht="28.5">
      <c r="A342" s="416" t="s">
        <v>744</v>
      </c>
      <c r="B342" s="417" t="s">
        <v>1895</v>
      </c>
      <c r="C342" s="417" t="s">
        <v>1396</v>
      </c>
      <c r="D342" s="416" t="s">
        <v>1050</v>
      </c>
      <c r="E342" s="417" t="s">
        <v>1403</v>
      </c>
      <c r="F342" s="418">
        <v>1</v>
      </c>
      <c r="G342" s="419">
        <v>175.21</v>
      </c>
      <c r="H342" s="418">
        <v>25</v>
      </c>
      <c r="I342" s="419">
        <v>219.01</v>
      </c>
      <c r="J342" s="419">
        <v>219.01</v>
      </c>
    </row>
    <row r="343" spans="1:10" s="237" customFormat="1" ht="28.5">
      <c r="A343" s="416" t="s">
        <v>746</v>
      </c>
      <c r="B343" s="417" t="s">
        <v>1896</v>
      </c>
      <c r="C343" s="417" t="s">
        <v>1400</v>
      </c>
      <c r="D343" s="416" t="s">
        <v>1897</v>
      </c>
      <c r="E343" s="417" t="s">
        <v>1403</v>
      </c>
      <c r="F343" s="418">
        <v>40</v>
      </c>
      <c r="G343" s="419">
        <v>10.44</v>
      </c>
      <c r="H343" s="418">
        <v>25</v>
      </c>
      <c r="I343" s="419">
        <v>13.05</v>
      </c>
      <c r="J343" s="419">
        <v>522</v>
      </c>
    </row>
    <row r="344" spans="1:10" s="237" customFormat="1" ht="28.5">
      <c r="A344" s="416" t="s">
        <v>748</v>
      </c>
      <c r="B344" s="417" t="s">
        <v>1898</v>
      </c>
      <c r="C344" s="417" t="s">
        <v>1400</v>
      </c>
      <c r="D344" s="416" t="s">
        <v>1899</v>
      </c>
      <c r="E344" s="417" t="s">
        <v>1403</v>
      </c>
      <c r="F344" s="418">
        <v>6</v>
      </c>
      <c r="G344" s="419">
        <v>11.25</v>
      </c>
      <c r="H344" s="418">
        <v>25</v>
      </c>
      <c r="I344" s="419">
        <v>14.06</v>
      </c>
      <c r="J344" s="419">
        <v>84.36</v>
      </c>
    </row>
    <row r="345" spans="1:10" s="237" customFormat="1" ht="28.5">
      <c r="A345" s="416" t="s">
        <v>750</v>
      </c>
      <c r="B345" s="417" t="s">
        <v>1900</v>
      </c>
      <c r="C345" s="417" t="s">
        <v>1400</v>
      </c>
      <c r="D345" s="416" t="s">
        <v>1901</v>
      </c>
      <c r="E345" s="417" t="s">
        <v>1403</v>
      </c>
      <c r="F345" s="418">
        <v>11</v>
      </c>
      <c r="G345" s="419">
        <v>12.77</v>
      </c>
      <c r="H345" s="418">
        <v>25</v>
      </c>
      <c r="I345" s="419">
        <v>15.96</v>
      </c>
      <c r="J345" s="419">
        <v>175.56</v>
      </c>
    </row>
    <row r="346" spans="1:10" s="237" customFormat="1" ht="28.5">
      <c r="A346" s="416" t="s">
        <v>751</v>
      </c>
      <c r="B346" s="417" t="s">
        <v>1902</v>
      </c>
      <c r="C346" s="417" t="s">
        <v>1400</v>
      </c>
      <c r="D346" s="416" t="s">
        <v>1903</v>
      </c>
      <c r="E346" s="417" t="s">
        <v>1403</v>
      </c>
      <c r="F346" s="418">
        <v>2</v>
      </c>
      <c r="G346" s="419">
        <v>21.12</v>
      </c>
      <c r="H346" s="418">
        <v>25</v>
      </c>
      <c r="I346" s="419">
        <v>26.4</v>
      </c>
      <c r="J346" s="419">
        <v>52.8</v>
      </c>
    </row>
    <row r="347" spans="1:10" s="237" customFormat="1" ht="28.5">
      <c r="A347" s="416" t="s">
        <v>904</v>
      </c>
      <c r="B347" s="417" t="s">
        <v>1904</v>
      </c>
      <c r="C347" s="417" t="s">
        <v>1400</v>
      </c>
      <c r="D347" s="416" t="s">
        <v>1905</v>
      </c>
      <c r="E347" s="417" t="s">
        <v>1403</v>
      </c>
      <c r="F347" s="418">
        <v>1</v>
      </c>
      <c r="G347" s="419">
        <v>60.18</v>
      </c>
      <c r="H347" s="418">
        <v>25</v>
      </c>
      <c r="I347" s="419">
        <v>75.23</v>
      </c>
      <c r="J347" s="419">
        <v>75.23</v>
      </c>
    </row>
    <row r="348" spans="1:10" s="237" customFormat="1" ht="28.5">
      <c r="A348" s="416" t="s">
        <v>905</v>
      </c>
      <c r="B348" s="417" t="s">
        <v>1906</v>
      </c>
      <c r="C348" s="417" t="s">
        <v>1400</v>
      </c>
      <c r="D348" s="416" t="s">
        <v>1907</v>
      </c>
      <c r="E348" s="417" t="s">
        <v>1403</v>
      </c>
      <c r="F348" s="418">
        <v>1</v>
      </c>
      <c r="G348" s="419">
        <v>67.180000000000007</v>
      </c>
      <c r="H348" s="418">
        <v>25</v>
      </c>
      <c r="I348" s="419">
        <v>83.98</v>
      </c>
      <c r="J348" s="419">
        <v>83.98</v>
      </c>
    </row>
    <row r="349" spans="1:10" s="237" customFormat="1" ht="28.5">
      <c r="A349" s="416" t="s">
        <v>752</v>
      </c>
      <c r="B349" s="417" t="s">
        <v>1908</v>
      </c>
      <c r="C349" s="417" t="s">
        <v>1400</v>
      </c>
      <c r="D349" s="416" t="s">
        <v>1909</v>
      </c>
      <c r="E349" s="417" t="s">
        <v>1403</v>
      </c>
      <c r="F349" s="418">
        <v>4</v>
      </c>
      <c r="G349" s="419">
        <v>72.81</v>
      </c>
      <c r="H349" s="418">
        <v>25</v>
      </c>
      <c r="I349" s="419">
        <v>91.01</v>
      </c>
      <c r="J349" s="419">
        <v>364.04</v>
      </c>
    </row>
    <row r="350" spans="1:10" s="237" customFormat="1" ht="28.5">
      <c r="A350" s="416" t="s">
        <v>753</v>
      </c>
      <c r="B350" s="417" t="s">
        <v>1910</v>
      </c>
      <c r="C350" s="417" t="s">
        <v>1400</v>
      </c>
      <c r="D350" s="416" t="s">
        <v>1911</v>
      </c>
      <c r="E350" s="417" t="s">
        <v>1403</v>
      </c>
      <c r="F350" s="418">
        <v>2</v>
      </c>
      <c r="G350" s="419">
        <v>81.849999999999994</v>
      </c>
      <c r="H350" s="418">
        <v>25</v>
      </c>
      <c r="I350" s="419">
        <v>102.31</v>
      </c>
      <c r="J350" s="419">
        <v>204.62</v>
      </c>
    </row>
    <row r="351" spans="1:10" s="237" customFormat="1" ht="28.5">
      <c r="A351" s="416" t="s">
        <v>754</v>
      </c>
      <c r="B351" s="417" t="s">
        <v>1309</v>
      </c>
      <c r="C351" s="417" t="s">
        <v>1396</v>
      </c>
      <c r="D351" s="416" t="s">
        <v>1308</v>
      </c>
      <c r="E351" s="417" t="s">
        <v>1403</v>
      </c>
      <c r="F351" s="418">
        <v>4</v>
      </c>
      <c r="G351" s="419">
        <v>103.16</v>
      </c>
      <c r="H351" s="418">
        <v>25</v>
      </c>
      <c r="I351" s="419">
        <v>128.94999999999999</v>
      </c>
      <c r="J351" s="419">
        <v>515.79999999999995</v>
      </c>
    </row>
    <row r="352" spans="1:10" s="237" customFormat="1" ht="42.75">
      <c r="A352" s="416" t="s">
        <v>755</v>
      </c>
      <c r="B352" s="417" t="s">
        <v>1912</v>
      </c>
      <c r="C352" s="417" t="s">
        <v>1400</v>
      </c>
      <c r="D352" s="416" t="s">
        <v>1913</v>
      </c>
      <c r="E352" s="417" t="s">
        <v>1403</v>
      </c>
      <c r="F352" s="418">
        <v>1</v>
      </c>
      <c r="G352" s="419">
        <v>1126.5</v>
      </c>
      <c r="H352" s="418">
        <v>25</v>
      </c>
      <c r="I352" s="419">
        <v>1408.13</v>
      </c>
      <c r="J352" s="419">
        <v>1408.13</v>
      </c>
    </row>
    <row r="353" spans="1:10" s="237" customFormat="1" ht="15" customHeight="1">
      <c r="A353" s="241" t="s">
        <v>756</v>
      </c>
      <c r="B353" s="242" t="s">
        <v>757</v>
      </c>
      <c r="C353" s="242"/>
      <c r="D353" s="242"/>
      <c r="E353" s="242"/>
      <c r="F353" s="242"/>
      <c r="G353" s="242"/>
      <c r="H353" s="242"/>
      <c r="I353" s="242"/>
      <c r="J353" s="243">
        <v>60420.6</v>
      </c>
    </row>
    <row r="354" spans="1:10" s="237" customFormat="1" ht="42.75">
      <c r="A354" s="416" t="s">
        <v>758</v>
      </c>
      <c r="B354" s="417" t="s">
        <v>1914</v>
      </c>
      <c r="C354" s="417" t="s">
        <v>1400</v>
      </c>
      <c r="D354" s="416" t="s">
        <v>1915</v>
      </c>
      <c r="E354" s="417" t="s">
        <v>1416</v>
      </c>
      <c r="F354" s="418">
        <v>10.68</v>
      </c>
      <c r="G354" s="419">
        <v>22.33</v>
      </c>
      <c r="H354" s="418">
        <v>25</v>
      </c>
      <c r="I354" s="419">
        <v>27.91</v>
      </c>
      <c r="J354" s="419">
        <v>298.08</v>
      </c>
    </row>
    <row r="355" spans="1:10" s="237" customFormat="1" ht="42.75">
      <c r="A355" s="416" t="s">
        <v>760</v>
      </c>
      <c r="B355" s="417" t="s">
        <v>1916</v>
      </c>
      <c r="C355" s="417" t="s">
        <v>1400</v>
      </c>
      <c r="D355" s="416" t="s">
        <v>1917</v>
      </c>
      <c r="E355" s="417" t="s">
        <v>1416</v>
      </c>
      <c r="F355" s="418">
        <v>62.41</v>
      </c>
      <c r="G355" s="419">
        <v>28.13</v>
      </c>
      <c r="H355" s="418">
        <v>25</v>
      </c>
      <c r="I355" s="419">
        <v>35.159999999999997</v>
      </c>
      <c r="J355" s="419">
        <v>2194.34</v>
      </c>
    </row>
    <row r="356" spans="1:10" s="237" customFormat="1" ht="42.75">
      <c r="A356" s="416" t="s">
        <v>761</v>
      </c>
      <c r="B356" s="417" t="s">
        <v>1918</v>
      </c>
      <c r="C356" s="417" t="s">
        <v>1400</v>
      </c>
      <c r="D356" s="416" t="s">
        <v>1919</v>
      </c>
      <c r="E356" s="417" t="s">
        <v>1416</v>
      </c>
      <c r="F356" s="418">
        <v>41.6</v>
      </c>
      <c r="G356" s="419">
        <v>11.8</v>
      </c>
      <c r="H356" s="418">
        <v>25</v>
      </c>
      <c r="I356" s="419">
        <v>14.75</v>
      </c>
      <c r="J356" s="419">
        <v>613.6</v>
      </c>
    </row>
    <row r="357" spans="1:10" s="237" customFormat="1" ht="42.75">
      <c r="A357" s="416" t="s">
        <v>762</v>
      </c>
      <c r="B357" s="417" t="s">
        <v>1920</v>
      </c>
      <c r="C357" s="417" t="s">
        <v>1400</v>
      </c>
      <c r="D357" s="416" t="s">
        <v>1921</v>
      </c>
      <c r="E357" s="417" t="s">
        <v>1416</v>
      </c>
      <c r="F357" s="418">
        <v>1140.03</v>
      </c>
      <c r="G357" s="419">
        <v>12.62</v>
      </c>
      <c r="H357" s="418">
        <v>25</v>
      </c>
      <c r="I357" s="419">
        <v>15.78</v>
      </c>
      <c r="J357" s="419">
        <v>17989.669999999998</v>
      </c>
    </row>
    <row r="358" spans="1:10" s="237" customFormat="1" ht="42.75">
      <c r="A358" s="416" t="s">
        <v>764</v>
      </c>
      <c r="B358" s="417" t="s">
        <v>1922</v>
      </c>
      <c r="C358" s="417" t="s">
        <v>1400</v>
      </c>
      <c r="D358" s="416" t="s">
        <v>1923</v>
      </c>
      <c r="E358" s="417" t="s">
        <v>1416</v>
      </c>
      <c r="F358" s="418">
        <v>11.71</v>
      </c>
      <c r="G358" s="419">
        <v>20.67</v>
      </c>
      <c r="H358" s="418">
        <v>25</v>
      </c>
      <c r="I358" s="419">
        <v>25.84</v>
      </c>
      <c r="J358" s="419">
        <v>302.58999999999997</v>
      </c>
    </row>
    <row r="359" spans="1:10" s="237" customFormat="1" ht="57">
      <c r="A359" s="416" t="s">
        <v>765</v>
      </c>
      <c r="B359" s="417" t="s">
        <v>1311</v>
      </c>
      <c r="C359" s="417" t="s">
        <v>1099</v>
      </c>
      <c r="D359" s="416" t="s">
        <v>1310</v>
      </c>
      <c r="E359" s="417" t="s">
        <v>1416</v>
      </c>
      <c r="F359" s="418">
        <v>89.25</v>
      </c>
      <c r="G359" s="419">
        <v>91.83</v>
      </c>
      <c r="H359" s="418">
        <v>25</v>
      </c>
      <c r="I359" s="419">
        <v>114.79</v>
      </c>
      <c r="J359" s="419">
        <v>10245.01</v>
      </c>
    </row>
    <row r="360" spans="1:10" s="237" customFormat="1" ht="42.75">
      <c r="A360" s="416" t="s">
        <v>766</v>
      </c>
      <c r="B360" s="417" t="s">
        <v>670</v>
      </c>
      <c r="C360" s="417" t="s">
        <v>1400</v>
      </c>
      <c r="D360" s="416" t="s">
        <v>1795</v>
      </c>
      <c r="E360" s="417" t="s">
        <v>1403</v>
      </c>
      <c r="F360" s="418">
        <v>16</v>
      </c>
      <c r="G360" s="419">
        <v>286.48</v>
      </c>
      <c r="H360" s="418">
        <v>25</v>
      </c>
      <c r="I360" s="419">
        <v>358.1</v>
      </c>
      <c r="J360" s="419">
        <v>5729.6</v>
      </c>
    </row>
    <row r="361" spans="1:10" s="237" customFormat="1" ht="42.75">
      <c r="A361" s="416" t="s">
        <v>768</v>
      </c>
      <c r="B361" s="417" t="s">
        <v>1924</v>
      </c>
      <c r="C361" s="417" t="s">
        <v>1400</v>
      </c>
      <c r="D361" s="416" t="s">
        <v>1925</v>
      </c>
      <c r="E361" s="417" t="s">
        <v>1403</v>
      </c>
      <c r="F361" s="418">
        <v>13</v>
      </c>
      <c r="G361" s="419">
        <v>23.04</v>
      </c>
      <c r="H361" s="418">
        <v>25</v>
      </c>
      <c r="I361" s="419">
        <v>28.8</v>
      </c>
      <c r="J361" s="419">
        <v>374.4</v>
      </c>
    </row>
    <row r="362" spans="1:10" s="237" customFormat="1" ht="28.5">
      <c r="A362" s="416" t="s">
        <v>769</v>
      </c>
      <c r="B362" s="417" t="s">
        <v>1926</v>
      </c>
      <c r="C362" s="417" t="s">
        <v>1400</v>
      </c>
      <c r="D362" s="416" t="s">
        <v>1927</v>
      </c>
      <c r="E362" s="417" t="s">
        <v>1403</v>
      </c>
      <c r="F362" s="418">
        <v>109</v>
      </c>
      <c r="G362" s="419">
        <v>23.44</v>
      </c>
      <c r="H362" s="418">
        <v>25</v>
      </c>
      <c r="I362" s="419">
        <v>29.3</v>
      </c>
      <c r="J362" s="419">
        <v>3193.7</v>
      </c>
    </row>
    <row r="363" spans="1:10" s="237" customFormat="1" ht="42.75">
      <c r="A363" s="416" t="s">
        <v>771</v>
      </c>
      <c r="B363" s="417" t="s">
        <v>1928</v>
      </c>
      <c r="C363" s="417" t="s">
        <v>1400</v>
      </c>
      <c r="D363" s="416" t="s">
        <v>1929</v>
      </c>
      <c r="E363" s="417" t="s">
        <v>1403</v>
      </c>
      <c r="F363" s="418">
        <v>379</v>
      </c>
      <c r="G363" s="419">
        <v>17.46</v>
      </c>
      <c r="H363" s="418">
        <v>25</v>
      </c>
      <c r="I363" s="419">
        <v>21.83</v>
      </c>
      <c r="J363" s="419">
        <v>8273.57</v>
      </c>
    </row>
    <row r="364" spans="1:10" s="237" customFormat="1" ht="42.75">
      <c r="A364" s="416" t="s">
        <v>772</v>
      </c>
      <c r="B364" s="417" t="s">
        <v>1930</v>
      </c>
      <c r="C364" s="417" t="s">
        <v>1400</v>
      </c>
      <c r="D364" s="416" t="s">
        <v>1931</v>
      </c>
      <c r="E364" s="417" t="s">
        <v>1403</v>
      </c>
      <c r="F364" s="418">
        <v>9</v>
      </c>
      <c r="G364" s="419">
        <v>25.01</v>
      </c>
      <c r="H364" s="418">
        <v>25</v>
      </c>
      <c r="I364" s="419">
        <v>31.26</v>
      </c>
      <c r="J364" s="419">
        <v>281.33999999999997</v>
      </c>
    </row>
    <row r="365" spans="1:10" s="237" customFormat="1" ht="42.75">
      <c r="A365" s="416" t="s">
        <v>773</v>
      </c>
      <c r="B365" s="417" t="s">
        <v>1932</v>
      </c>
      <c r="C365" s="417" t="s">
        <v>1400</v>
      </c>
      <c r="D365" s="416" t="s">
        <v>1933</v>
      </c>
      <c r="E365" s="417" t="s">
        <v>1403</v>
      </c>
      <c r="F365" s="418">
        <v>758</v>
      </c>
      <c r="G365" s="419">
        <v>10.69</v>
      </c>
      <c r="H365" s="418">
        <v>25</v>
      </c>
      <c r="I365" s="419">
        <v>13.36</v>
      </c>
      <c r="J365" s="419">
        <v>10126.879999999999</v>
      </c>
    </row>
    <row r="366" spans="1:10" s="237" customFormat="1" ht="42.75">
      <c r="A366" s="416" t="s">
        <v>775</v>
      </c>
      <c r="B366" s="417" t="s">
        <v>1934</v>
      </c>
      <c r="C366" s="417" t="s">
        <v>1400</v>
      </c>
      <c r="D366" s="416" t="s">
        <v>1935</v>
      </c>
      <c r="E366" s="417" t="s">
        <v>1403</v>
      </c>
      <c r="F366" s="418">
        <v>18</v>
      </c>
      <c r="G366" s="419">
        <v>15.91</v>
      </c>
      <c r="H366" s="418">
        <v>25</v>
      </c>
      <c r="I366" s="419">
        <v>19.89</v>
      </c>
      <c r="J366" s="419">
        <v>358.02</v>
      </c>
    </row>
    <row r="367" spans="1:10" s="237" customFormat="1" ht="28.5">
      <c r="A367" s="416" t="s">
        <v>777</v>
      </c>
      <c r="B367" s="417" t="s">
        <v>1052</v>
      </c>
      <c r="C367" s="417" t="s">
        <v>1396</v>
      </c>
      <c r="D367" s="416" t="s">
        <v>1051</v>
      </c>
      <c r="E367" s="417" t="s">
        <v>1403</v>
      </c>
      <c r="F367" s="418">
        <v>20</v>
      </c>
      <c r="G367" s="419">
        <v>17.59</v>
      </c>
      <c r="H367" s="418">
        <v>25</v>
      </c>
      <c r="I367" s="419">
        <v>21.99</v>
      </c>
      <c r="J367" s="419">
        <v>439.8</v>
      </c>
    </row>
    <row r="368" spans="1:10" s="237" customFormat="1" ht="15" customHeight="1">
      <c r="A368" s="241" t="s">
        <v>781</v>
      </c>
      <c r="B368" s="242" t="s">
        <v>782</v>
      </c>
      <c r="C368" s="242"/>
      <c r="D368" s="242"/>
      <c r="E368" s="242"/>
      <c r="F368" s="242"/>
      <c r="G368" s="242"/>
      <c r="H368" s="242"/>
      <c r="I368" s="242"/>
      <c r="J368" s="243">
        <v>99326.98</v>
      </c>
    </row>
    <row r="369" spans="1:10" s="237" customFormat="1" ht="42.75">
      <c r="A369" s="416" t="s">
        <v>783</v>
      </c>
      <c r="B369" s="417" t="s">
        <v>1936</v>
      </c>
      <c r="C369" s="417" t="s">
        <v>1400</v>
      </c>
      <c r="D369" s="416" t="s">
        <v>1937</v>
      </c>
      <c r="E369" s="417" t="s">
        <v>1416</v>
      </c>
      <c r="F369" s="418">
        <v>1192.3499999999999</v>
      </c>
      <c r="G369" s="419">
        <v>3.12</v>
      </c>
      <c r="H369" s="418">
        <v>25</v>
      </c>
      <c r="I369" s="419">
        <v>3.9</v>
      </c>
      <c r="J369" s="419">
        <v>4650.17</v>
      </c>
    </row>
    <row r="370" spans="1:10" s="237" customFormat="1" ht="42.75">
      <c r="A370" s="416" t="s">
        <v>785</v>
      </c>
      <c r="B370" s="417" t="s">
        <v>1938</v>
      </c>
      <c r="C370" s="417" t="s">
        <v>1400</v>
      </c>
      <c r="D370" s="416" t="s">
        <v>1939</v>
      </c>
      <c r="E370" s="417" t="s">
        <v>1416</v>
      </c>
      <c r="F370" s="418">
        <v>3127.79</v>
      </c>
      <c r="G370" s="419">
        <v>4.43</v>
      </c>
      <c r="H370" s="418">
        <v>25</v>
      </c>
      <c r="I370" s="419">
        <v>5.54</v>
      </c>
      <c r="J370" s="419">
        <v>17327.96</v>
      </c>
    </row>
    <row r="371" spans="1:10" s="237" customFormat="1" ht="42.75">
      <c r="A371" s="416" t="s">
        <v>787</v>
      </c>
      <c r="B371" s="417" t="s">
        <v>1940</v>
      </c>
      <c r="C371" s="417" t="s">
        <v>1400</v>
      </c>
      <c r="D371" s="416" t="s">
        <v>1941</v>
      </c>
      <c r="E371" s="417" t="s">
        <v>1416</v>
      </c>
      <c r="F371" s="418">
        <v>283.39999999999998</v>
      </c>
      <c r="G371" s="419">
        <v>6.71</v>
      </c>
      <c r="H371" s="418">
        <v>25</v>
      </c>
      <c r="I371" s="419">
        <v>8.39</v>
      </c>
      <c r="J371" s="419">
        <v>2377.73</v>
      </c>
    </row>
    <row r="372" spans="1:10" s="237" customFormat="1" ht="42.75">
      <c r="A372" s="416" t="s">
        <v>789</v>
      </c>
      <c r="B372" s="417" t="s">
        <v>1942</v>
      </c>
      <c r="C372" s="417" t="s">
        <v>1400</v>
      </c>
      <c r="D372" s="416" t="s">
        <v>1943</v>
      </c>
      <c r="E372" s="417" t="s">
        <v>1416</v>
      </c>
      <c r="F372" s="418">
        <v>650.4</v>
      </c>
      <c r="G372" s="419">
        <v>9.2799999999999994</v>
      </c>
      <c r="H372" s="418">
        <v>25</v>
      </c>
      <c r="I372" s="419">
        <v>11.6</v>
      </c>
      <c r="J372" s="419">
        <v>7544.64</v>
      </c>
    </row>
    <row r="373" spans="1:10" s="237" customFormat="1" ht="42.75">
      <c r="A373" s="416" t="s">
        <v>791</v>
      </c>
      <c r="B373" s="417" t="s">
        <v>1944</v>
      </c>
      <c r="C373" s="417" t="s">
        <v>1400</v>
      </c>
      <c r="D373" s="416" t="s">
        <v>1945</v>
      </c>
      <c r="E373" s="417" t="s">
        <v>1416</v>
      </c>
      <c r="F373" s="418">
        <v>103.8</v>
      </c>
      <c r="G373" s="419">
        <v>16.28</v>
      </c>
      <c r="H373" s="418">
        <v>25</v>
      </c>
      <c r="I373" s="419">
        <v>20.350000000000001</v>
      </c>
      <c r="J373" s="419">
        <v>2112.33</v>
      </c>
    </row>
    <row r="374" spans="1:10" s="237" customFormat="1" ht="42.75">
      <c r="A374" s="416" t="s">
        <v>792</v>
      </c>
      <c r="B374" s="417" t="s">
        <v>1946</v>
      </c>
      <c r="C374" s="417" t="s">
        <v>1400</v>
      </c>
      <c r="D374" s="416" t="s">
        <v>1947</v>
      </c>
      <c r="E374" s="417" t="s">
        <v>1416</v>
      </c>
      <c r="F374" s="418">
        <v>148.1</v>
      </c>
      <c r="G374" s="419">
        <v>23.58</v>
      </c>
      <c r="H374" s="418">
        <v>25</v>
      </c>
      <c r="I374" s="419">
        <v>29.48</v>
      </c>
      <c r="J374" s="419">
        <v>4365.99</v>
      </c>
    </row>
    <row r="375" spans="1:10" s="237" customFormat="1" ht="57">
      <c r="A375" s="416" t="s">
        <v>794</v>
      </c>
      <c r="B375" s="417" t="s">
        <v>1948</v>
      </c>
      <c r="C375" s="417" t="s">
        <v>1400</v>
      </c>
      <c r="D375" s="416" t="s">
        <v>1949</v>
      </c>
      <c r="E375" s="417" t="s">
        <v>1416</v>
      </c>
      <c r="F375" s="418">
        <v>6.87</v>
      </c>
      <c r="G375" s="419">
        <v>25.63</v>
      </c>
      <c r="H375" s="418">
        <v>25</v>
      </c>
      <c r="I375" s="419">
        <v>32.04</v>
      </c>
      <c r="J375" s="419">
        <v>220.11</v>
      </c>
    </row>
    <row r="376" spans="1:10" s="237" customFormat="1" ht="57">
      <c r="A376" s="416" t="s">
        <v>1373</v>
      </c>
      <c r="B376" s="417" t="s">
        <v>1950</v>
      </c>
      <c r="C376" s="417" t="s">
        <v>1400</v>
      </c>
      <c r="D376" s="416" t="s">
        <v>1951</v>
      </c>
      <c r="E376" s="417" t="s">
        <v>1416</v>
      </c>
      <c r="F376" s="418">
        <v>55.8</v>
      </c>
      <c r="G376" s="419">
        <v>35.14</v>
      </c>
      <c r="H376" s="418">
        <v>25</v>
      </c>
      <c r="I376" s="419">
        <v>43.93</v>
      </c>
      <c r="J376" s="419">
        <v>2451.29</v>
      </c>
    </row>
    <row r="377" spans="1:10" s="237" customFormat="1" ht="57">
      <c r="A377" s="416" t="s">
        <v>1374</v>
      </c>
      <c r="B377" s="417" t="s">
        <v>1952</v>
      </c>
      <c r="C377" s="417" t="s">
        <v>1400</v>
      </c>
      <c r="D377" s="416" t="s">
        <v>1953</v>
      </c>
      <c r="E377" s="417" t="s">
        <v>1416</v>
      </c>
      <c r="F377" s="418">
        <v>35.28</v>
      </c>
      <c r="G377" s="419">
        <v>50.62</v>
      </c>
      <c r="H377" s="418">
        <v>25</v>
      </c>
      <c r="I377" s="419">
        <v>63.28</v>
      </c>
      <c r="J377" s="419">
        <v>2232.52</v>
      </c>
    </row>
    <row r="378" spans="1:10" s="237" customFormat="1" ht="57">
      <c r="A378" s="416" t="s">
        <v>1375</v>
      </c>
      <c r="B378" s="417" t="s">
        <v>1954</v>
      </c>
      <c r="C378" s="417" t="s">
        <v>1400</v>
      </c>
      <c r="D378" s="416" t="s">
        <v>1955</v>
      </c>
      <c r="E378" s="417" t="s">
        <v>1416</v>
      </c>
      <c r="F378" s="418">
        <v>35.549999999999997</v>
      </c>
      <c r="G378" s="419">
        <v>116.76</v>
      </c>
      <c r="H378" s="418">
        <v>25</v>
      </c>
      <c r="I378" s="419">
        <v>145.94999999999999</v>
      </c>
      <c r="J378" s="419">
        <v>5188.5200000000004</v>
      </c>
    </row>
    <row r="379" spans="1:10" s="237" customFormat="1" ht="57">
      <c r="A379" s="416" t="s">
        <v>1376</v>
      </c>
      <c r="B379" s="417" t="s">
        <v>1956</v>
      </c>
      <c r="C379" s="417" t="s">
        <v>1400</v>
      </c>
      <c r="D379" s="416" t="s">
        <v>1957</v>
      </c>
      <c r="E379" s="417" t="s">
        <v>1416</v>
      </c>
      <c r="F379" s="418">
        <v>178.06</v>
      </c>
      <c r="G379" s="419">
        <v>228.49</v>
      </c>
      <c r="H379" s="418">
        <v>25</v>
      </c>
      <c r="I379" s="419">
        <v>285.61</v>
      </c>
      <c r="J379" s="419">
        <v>50855.72</v>
      </c>
    </row>
    <row r="380" spans="1:10" s="237" customFormat="1" ht="15" customHeight="1">
      <c r="A380" s="241" t="s">
        <v>797</v>
      </c>
      <c r="B380" s="242" t="s">
        <v>798</v>
      </c>
      <c r="C380" s="242"/>
      <c r="D380" s="242"/>
      <c r="E380" s="242"/>
      <c r="F380" s="242"/>
      <c r="G380" s="242"/>
      <c r="H380" s="242"/>
      <c r="I380" s="242"/>
      <c r="J380" s="243">
        <v>21918.82</v>
      </c>
    </row>
    <row r="381" spans="1:10" s="237" customFormat="1" ht="42.75">
      <c r="A381" s="416" t="s">
        <v>799</v>
      </c>
      <c r="B381" s="417" t="s">
        <v>1958</v>
      </c>
      <c r="C381" s="417" t="s">
        <v>1400</v>
      </c>
      <c r="D381" s="416" t="s">
        <v>1959</v>
      </c>
      <c r="E381" s="417" t="s">
        <v>1403</v>
      </c>
      <c r="F381" s="418">
        <v>42</v>
      </c>
      <c r="G381" s="419">
        <v>53.61</v>
      </c>
      <c r="H381" s="418">
        <v>25</v>
      </c>
      <c r="I381" s="419">
        <v>67.010000000000005</v>
      </c>
      <c r="J381" s="419">
        <v>2814.42</v>
      </c>
    </row>
    <row r="382" spans="1:10" s="237" customFormat="1" ht="42.75">
      <c r="A382" s="416" t="s">
        <v>801</v>
      </c>
      <c r="B382" s="417" t="s">
        <v>1960</v>
      </c>
      <c r="C382" s="417" t="s">
        <v>1400</v>
      </c>
      <c r="D382" s="416" t="s">
        <v>1961</v>
      </c>
      <c r="E382" s="417" t="s">
        <v>1403</v>
      </c>
      <c r="F382" s="418">
        <v>25</v>
      </c>
      <c r="G382" s="419">
        <v>40.93</v>
      </c>
      <c r="H382" s="418">
        <v>25</v>
      </c>
      <c r="I382" s="419">
        <v>51.16</v>
      </c>
      <c r="J382" s="419">
        <v>1279</v>
      </c>
    </row>
    <row r="383" spans="1:10" s="237" customFormat="1" ht="42.75">
      <c r="A383" s="416" t="s">
        <v>803</v>
      </c>
      <c r="B383" s="417" t="s">
        <v>1962</v>
      </c>
      <c r="C383" s="417" t="s">
        <v>1400</v>
      </c>
      <c r="D383" s="416" t="s">
        <v>1963</v>
      </c>
      <c r="E383" s="417" t="s">
        <v>1403</v>
      </c>
      <c r="F383" s="418">
        <v>2</v>
      </c>
      <c r="G383" s="419">
        <v>36.03</v>
      </c>
      <c r="H383" s="418">
        <v>25</v>
      </c>
      <c r="I383" s="419">
        <v>45.04</v>
      </c>
      <c r="J383" s="419">
        <v>90.08</v>
      </c>
    </row>
    <row r="384" spans="1:10" s="237" customFormat="1" ht="42.75">
      <c r="A384" s="416" t="s">
        <v>805</v>
      </c>
      <c r="B384" s="417" t="s">
        <v>1964</v>
      </c>
      <c r="C384" s="417" t="s">
        <v>1400</v>
      </c>
      <c r="D384" s="416" t="s">
        <v>1965</v>
      </c>
      <c r="E384" s="417" t="s">
        <v>1403</v>
      </c>
      <c r="F384" s="418">
        <v>21</v>
      </c>
      <c r="G384" s="419">
        <v>55.73</v>
      </c>
      <c r="H384" s="418">
        <v>25</v>
      </c>
      <c r="I384" s="419">
        <v>69.66</v>
      </c>
      <c r="J384" s="419">
        <v>1462.86</v>
      </c>
    </row>
    <row r="385" spans="1:10" s="237" customFormat="1" ht="42.75">
      <c r="A385" s="416" t="s">
        <v>807</v>
      </c>
      <c r="B385" s="417" t="s">
        <v>1966</v>
      </c>
      <c r="C385" s="417" t="s">
        <v>1400</v>
      </c>
      <c r="D385" s="416" t="s">
        <v>1967</v>
      </c>
      <c r="E385" s="417" t="s">
        <v>1403</v>
      </c>
      <c r="F385" s="418">
        <v>2</v>
      </c>
      <c r="G385" s="419">
        <v>43.05</v>
      </c>
      <c r="H385" s="418">
        <v>25</v>
      </c>
      <c r="I385" s="419">
        <v>53.81</v>
      </c>
      <c r="J385" s="419">
        <v>107.62</v>
      </c>
    </row>
    <row r="386" spans="1:10" s="237" customFormat="1" ht="42.75">
      <c r="A386" s="416" t="s">
        <v>809</v>
      </c>
      <c r="B386" s="417" t="s">
        <v>1968</v>
      </c>
      <c r="C386" s="417" t="s">
        <v>1400</v>
      </c>
      <c r="D386" s="416" t="s">
        <v>1969</v>
      </c>
      <c r="E386" s="417" t="s">
        <v>1403</v>
      </c>
      <c r="F386" s="418">
        <v>13</v>
      </c>
      <c r="G386" s="419">
        <v>65.180000000000007</v>
      </c>
      <c r="H386" s="418">
        <v>25</v>
      </c>
      <c r="I386" s="419">
        <v>81.48</v>
      </c>
      <c r="J386" s="419">
        <v>1059.24</v>
      </c>
    </row>
    <row r="387" spans="1:10" s="237" customFormat="1" ht="42.75">
      <c r="A387" s="416" t="s">
        <v>811</v>
      </c>
      <c r="B387" s="417" t="s">
        <v>1970</v>
      </c>
      <c r="C387" s="417" t="s">
        <v>1400</v>
      </c>
      <c r="D387" s="416" t="s">
        <v>1971</v>
      </c>
      <c r="E387" s="417" t="s">
        <v>1403</v>
      </c>
      <c r="F387" s="418">
        <v>10</v>
      </c>
      <c r="G387" s="419">
        <v>55.3</v>
      </c>
      <c r="H387" s="418">
        <v>25</v>
      </c>
      <c r="I387" s="419">
        <v>69.13</v>
      </c>
      <c r="J387" s="419">
        <v>691.3</v>
      </c>
    </row>
    <row r="388" spans="1:10" s="237" customFormat="1" ht="42.75">
      <c r="A388" s="416" t="s">
        <v>813</v>
      </c>
      <c r="B388" s="417" t="s">
        <v>1972</v>
      </c>
      <c r="C388" s="417" t="s">
        <v>1400</v>
      </c>
      <c r="D388" s="416" t="s">
        <v>1973</v>
      </c>
      <c r="E388" s="417" t="s">
        <v>1403</v>
      </c>
      <c r="F388" s="418">
        <v>7</v>
      </c>
      <c r="G388" s="419">
        <v>58.63</v>
      </c>
      <c r="H388" s="418">
        <v>25</v>
      </c>
      <c r="I388" s="419">
        <v>73.290000000000006</v>
      </c>
      <c r="J388" s="419">
        <v>513.03</v>
      </c>
    </row>
    <row r="389" spans="1:10" s="237" customFormat="1" ht="42.75">
      <c r="A389" s="416" t="s">
        <v>815</v>
      </c>
      <c r="B389" s="417" t="s">
        <v>1974</v>
      </c>
      <c r="C389" s="417" t="s">
        <v>1400</v>
      </c>
      <c r="D389" s="416" t="s">
        <v>1975</v>
      </c>
      <c r="E389" s="417" t="s">
        <v>1403</v>
      </c>
      <c r="F389" s="418">
        <v>10</v>
      </c>
      <c r="G389" s="419">
        <v>66.28</v>
      </c>
      <c r="H389" s="418">
        <v>25</v>
      </c>
      <c r="I389" s="419">
        <v>82.85</v>
      </c>
      <c r="J389" s="419">
        <v>828.5</v>
      </c>
    </row>
    <row r="390" spans="1:10" s="237" customFormat="1" ht="42.75">
      <c r="A390" s="416" t="s">
        <v>817</v>
      </c>
      <c r="B390" s="417" t="s">
        <v>1976</v>
      </c>
      <c r="C390" s="417" t="s">
        <v>1400</v>
      </c>
      <c r="D390" s="416" t="s">
        <v>1977</v>
      </c>
      <c r="E390" s="417" t="s">
        <v>1403</v>
      </c>
      <c r="F390" s="418">
        <v>7</v>
      </c>
      <c r="G390" s="419">
        <v>76.39</v>
      </c>
      <c r="H390" s="418">
        <v>25</v>
      </c>
      <c r="I390" s="419">
        <v>95.49</v>
      </c>
      <c r="J390" s="419">
        <v>668.43</v>
      </c>
    </row>
    <row r="391" spans="1:10" s="237" customFormat="1" ht="42.75">
      <c r="A391" s="416" t="s">
        <v>1387</v>
      </c>
      <c r="B391" s="417" t="s">
        <v>1978</v>
      </c>
      <c r="C391" s="417" t="s">
        <v>1400</v>
      </c>
      <c r="D391" s="416" t="s">
        <v>1979</v>
      </c>
      <c r="E391" s="417" t="s">
        <v>1403</v>
      </c>
      <c r="F391" s="418">
        <v>4</v>
      </c>
      <c r="G391" s="419">
        <v>104.26</v>
      </c>
      <c r="H391" s="418">
        <v>25</v>
      </c>
      <c r="I391" s="419">
        <v>130.33000000000001</v>
      </c>
      <c r="J391" s="419">
        <v>521.32000000000005</v>
      </c>
    </row>
    <row r="392" spans="1:10" s="237" customFormat="1" ht="42.75">
      <c r="A392" s="416" t="s">
        <v>1388</v>
      </c>
      <c r="B392" s="417" t="s">
        <v>1380</v>
      </c>
      <c r="C392" s="417" t="s">
        <v>1099</v>
      </c>
      <c r="D392" s="416" t="s">
        <v>1379</v>
      </c>
      <c r="E392" s="417" t="s">
        <v>1403</v>
      </c>
      <c r="F392" s="418">
        <v>20</v>
      </c>
      <c r="G392" s="419">
        <v>89.03</v>
      </c>
      <c r="H392" s="418">
        <v>25</v>
      </c>
      <c r="I392" s="419">
        <v>111.29</v>
      </c>
      <c r="J392" s="419">
        <v>2225.8000000000002</v>
      </c>
    </row>
    <row r="393" spans="1:10" s="237" customFormat="1" ht="57">
      <c r="A393" s="416" t="s">
        <v>1389</v>
      </c>
      <c r="B393" s="417" t="s">
        <v>1382</v>
      </c>
      <c r="C393" s="417" t="s">
        <v>1099</v>
      </c>
      <c r="D393" s="416" t="s">
        <v>1980</v>
      </c>
      <c r="E393" s="417" t="s">
        <v>1403</v>
      </c>
      <c r="F393" s="418">
        <v>29</v>
      </c>
      <c r="G393" s="419">
        <v>126.82</v>
      </c>
      <c r="H393" s="418">
        <v>25</v>
      </c>
      <c r="I393" s="419">
        <v>158.53</v>
      </c>
      <c r="J393" s="419">
        <v>4597.37</v>
      </c>
    </row>
    <row r="394" spans="1:10" s="237" customFormat="1" ht="28.5">
      <c r="A394" s="416" t="s">
        <v>1390</v>
      </c>
      <c r="B394" s="417" t="s">
        <v>1981</v>
      </c>
      <c r="C394" s="417" t="s">
        <v>1400</v>
      </c>
      <c r="D394" s="416" t="s">
        <v>1982</v>
      </c>
      <c r="E394" s="417" t="s">
        <v>1403</v>
      </c>
      <c r="F394" s="418">
        <v>79</v>
      </c>
      <c r="G394" s="419">
        <v>42.55</v>
      </c>
      <c r="H394" s="418">
        <v>25</v>
      </c>
      <c r="I394" s="419">
        <v>53.19</v>
      </c>
      <c r="J394" s="419">
        <v>4202.01</v>
      </c>
    </row>
    <row r="395" spans="1:10" s="237" customFormat="1" ht="28.5">
      <c r="A395" s="416" t="s">
        <v>1391</v>
      </c>
      <c r="B395" s="417" t="s">
        <v>1385</v>
      </c>
      <c r="C395" s="417" t="s">
        <v>1396</v>
      </c>
      <c r="D395" s="416" t="s">
        <v>1983</v>
      </c>
      <c r="E395" s="417" t="s">
        <v>1403</v>
      </c>
      <c r="F395" s="418">
        <v>8</v>
      </c>
      <c r="G395" s="419">
        <v>85.78</v>
      </c>
      <c r="H395" s="418">
        <v>25</v>
      </c>
      <c r="I395" s="419">
        <v>107.23</v>
      </c>
      <c r="J395" s="419">
        <v>857.84</v>
      </c>
    </row>
    <row r="396" spans="1:10" s="237" customFormat="1" ht="15" customHeight="1">
      <c r="A396" s="241" t="s">
        <v>1984</v>
      </c>
      <c r="B396" s="242" t="s">
        <v>188</v>
      </c>
      <c r="C396" s="242"/>
      <c r="D396" s="242"/>
      <c r="E396" s="242"/>
      <c r="F396" s="242"/>
      <c r="G396" s="242"/>
      <c r="H396" s="242"/>
      <c r="I396" s="242"/>
      <c r="J396" s="243">
        <v>36558.14</v>
      </c>
    </row>
    <row r="397" spans="1:10" s="237" customFormat="1" ht="15" customHeight="1">
      <c r="A397" s="241" t="s">
        <v>906</v>
      </c>
      <c r="B397" s="242" t="s">
        <v>818</v>
      </c>
      <c r="C397" s="242"/>
      <c r="D397" s="242"/>
      <c r="E397" s="242"/>
      <c r="F397" s="242"/>
      <c r="G397" s="242"/>
      <c r="H397" s="242"/>
      <c r="I397" s="242"/>
      <c r="J397" s="243">
        <v>4910.83</v>
      </c>
    </row>
    <row r="398" spans="1:10" s="237" customFormat="1" ht="28.5">
      <c r="A398" s="416" t="s">
        <v>819</v>
      </c>
      <c r="B398" s="417" t="s">
        <v>1985</v>
      </c>
      <c r="C398" s="417" t="s">
        <v>1400</v>
      </c>
      <c r="D398" s="416" t="s">
        <v>1986</v>
      </c>
      <c r="E398" s="417" t="s">
        <v>1403</v>
      </c>
      <c r="F398" s="418">
        <v>1</v>
      </c>
      <c r="G398" s="419">
        <v>1999.81</v>
      </c>
      <c r="H398" s="418">
        <v>25</v>
      </c>
      <c r="I398" s="419">
        <v>2499.7600000000002</v>
      </c>
      <c r="J398" s="419">
        <v>2499.7600000000002</v>
      </c>
    </row>
    <row r="399" spans="1:10" s="237" customFormat="1" ht="28.5">
      <c r="A399" s="416" t="s">
        <v>820</v>
      </c>
      <c r="B399" s="417" t="s">
        <v>1987</v>
      </c>
      <c r="C399" s="417" t="s">
        <v>1400</v>
      </c>
      <c r="D399" s="416" t="s">
        <v>1988</v>
      </c>
      <c r="E399" s="417" t="s">
        <v>1403</v>
      </c>
      <c r="F399" s="418">
        <v>3</v>
      </c>
      <c r="G399" s="419">
        <v>642.95000000000005</v>
      </c>
      <c r="H399" s="418">
        <v>25</v>
      </c>
      <c r="I399" s="419">
        <v>803.69</v>
      </c>
      <c r="J399" s="419">
        <v>2411.0700000000002</v>
      </c>
    </row>
    <row r="400" spans="1:10" s="237" customFormat="1" ht="15" customHeight="1">
      <c r="A400" s="241" t="s">
        <v>821</v>
      </c>
      <c r="B400" s="242" t="s">
        <v>822</v>
      </c>
      <c r="C400" s="242"/>
      <c r="D400" s="242"/>
      <c r="E400" s="242"/>
      <c r="F400" s="242"/>
      <c r="G400" s="242"/>
      <c r="H400" s="242"/>
      <c r="I400" s="242"/>
      <c r="J400" s="243">
        <v>14222.66</v>
      </c>
    </row>
    <row r="401" spans="1:10" s="237" customFormat="1" ht="28.5">
      <c r="A401" s="416" t="s">
        <v>823</v>
      </c>
      <c r="B401" s="417" t="s">
        <v>1004</v>
      </c>
      <c r="C401" s="417" t="s">
        <v>1396</v>
      </c>
      <c r="D401" s="416" t="s">
        <v>1989</v>
      </c>
      <c r="E401" s="417" t="s">
        <v>1416</v>
      </c>
      <c r="F401" s="418">
        <v>526.34</v>
      </c>
      <c r="G401" s="419">
        <v>20</v>
      </c>
      <c r="H401" s="418">
        <v>25</v>
      </c>
      <c r="I401" s="419">
        <v>25</v>
      </c>
      <c r="J401" s="419">
        <v>13158.5</v>
      </c>
    </row>
    <row r="402" spans="1:10" s="237" customFormat="1" ht="28.5">
      <c r="A402" s="416" t="s">
        <v>827</v>
      </c>
      <c r="B402" s="417" t="s">
        <v>999</v>
      </c>
      <c r="C402" s="417" t="s">
        <v>1400</v>
      </c>
      <c r="D402" s="416" t="s">
        <v>1990</v>
      </c>
      <c r="E402" s="417" t="s">
        <v>1416</v>
      </c>
      <c r="F402" s="418">
        <v>127.75</v>
      </c>
      <c r="G402" s="419">
        <v>6.66</v>
      </c>
      <c r="H402" s="418">
        <v>25</v>
      </c>
      <c r="I402" s="419">
        <v>8.33</v>
      </c>
      <c r="J402" s="419">
        <v>1064.1600000000001</v>
      </c>
    </row>
    <row r="403" spans="1:10" s="237" customFormat="1" ht="15.75">
      <c r="A403" s="241" t="s">
        <v>828</v>
      </c>
      <c r="B403" s="242" t="s">
        <v>829</v>
      </c>
      <c r="C403" s="242"/>
      <c r="D403" s="242"/>
      <c r="E403" s="242"/>
      <c r="F403" s="242"/>
      <c r="G403" s="242"/>
      <c r="H403" s="242"/>
      <c r="I403" s="242"/>
      <c r="J403" s="243">
        <v>1235.08</v>
      </c>
    </row>
    <row r="404" spans="1:10" s="237" customFormat="1" ht="28.5">
      <c r="A404" s="416" t="s">
        <v>830</v>
      </c>
      <c r="B404" s="417" t="s">
        <v>1991</v>
      </c>
      <c r="C404" s="417" t="s">
        <v>1400</v>
      </c>
      <c r="D404" s="416" t="s">
        <v>1992</v>
      </c>
      <c r="E404" s="417" t="s">
        <v>1403</v>
      </c>
      <c r="F404" s="418">
        <v>16</v>
      </c>
      <c r="G404" s="419">
        <v>48.1</v>
      </c>
      <c r="H404" s="418">
        <v>25</v>
      </c>
      <c r="I404" s="419">
        <v>60.13</v>
      </c>
      <c r="J404" s="419">
        <v>962.08</v>
      </c>
    </row>
    <row r="405" spans="1:10" s="237" customFormat="1" ht="28.5">
      <c r="A405" s="416" t="s">
        <v>907</v>
      </c>
      <c r="B405" s="417" t="s">
        <v>1993</v>
      </c>
      <c r="C405" s="417" t="s">
        <v>1099</v>
      </c>
      <c r="D405" s="416" t="s">
        <v>1994</v>
      </c>
      <c r="E405" s="417" t="s">
        <v>1403</v>
      </c>
      <c r="F405" s="418">
        <v>15</v>
      </c>
      <c r="G405" s="419">
        <v>14.56</v>
      </c>
      <c r="H405" s="418">
        <v>25</v>
      </c>
      <c r="I405" s="419">
        <v>18.2</v>
      </c>
      <c r="J405" s="419">
        <v>273</v>
      </c>
    </row>
    <row r="406" spans="1:10" s="237" customFormat="1" ht="15" customHeight="1">
      <c r="A406" s="241" t="s">
        <v>832</v>
      </c>
      <c r="B406" s="242" t="s">
        <v>833</v>
      </c>
      <c r="C406" s="242"/>
      <c r="D406" s="242"/>
      <c r="E406" s="242"/>
      <c r="F406" s="242"/>
      <c r="G406" s="242"/>
      <c r="H406" s="242"/>
      <c r="I406" s="242"/>
      <c r="J406" s="243">
        <v>716.2</v>
      </c>
    </row>
    <row r="407" spans="1:10" s="237" customFormat="1" ht="42.75">
      <c r="A407" s="416" t="s">
        <v>834</v>
      </c>
      <c r="B407" s="417" t="s">
        <v>670</v>
      </c>
      <c r="C407" s="417" t="s">
        <v>1400</v>
      </c>
      <c r="D407" s="416" t="s">
        <v>1795</v>
      </c>
      <c r="E407" s="417" t="s">
        <v>1403</v>
      </c>
      <c r="F407" s="418">
        <v>2</v>
      </c>
      <c r="G407" s="419">
        <v>286.48</v>
      </c>
      <c r="H407" s="418">
        <v>25</v>
      </c>
      <c r="I407" s="419">
        <v>358.1</v>
      </c>
      <c r="J407" s="419">
        <v>716.2</v>
      </c>
    </row>
    <row r="408" spans="1:10" s="237" customFormat="1" ht="15" customHeight="1">
      <c r="A408" s="241" t="s">
        <v>835</v>
      </c>
      <c r="B408" s="242" t="s">
        <v>757</v>
      </c>
      <c r="C408" s="242"/>
      <c r="D408" s="242"/>
      <c r="E408" s="242"/>
      <c r="F408" s="242"/>
      <c r="G408" s="242"/>
      <c r="H408" s="242"/>
      <c r="I408" s="242"/>
      <c r="J408" s="243">
        <v>15473.37</v>
      </c>
    </row>
    <row r="409" spans="1:10" s="237" customFormat="1" ht="42.75">
      <c r="A409" s="416" t="s">
        <v>836</v>
      </c>
      <c r="B409" s="417" t="s">
        <v>1914</v>
      </c>
      <c r="C409" s="417" t="s">
        <v>1400</v>
      </c>
      <c r="D409" s="416" t="s">
        <v>1915</v>
      </c>
      <c r="E409" s="417" t="s">
        <v>1416</v>
      </c>
      <c r="F409" s="418">
        <v>69.78</v>
      </c>
      <c r="G409" s="419">
        <v>22.33</v>
      </c>
      <c r="H409" s="418">
        <v>25</v>
      </c>
      <c r="I409" s="419">
        <v>27.91</v>
      </c>
      <c r="J409" s="419">
        <v>1947.56</v>
      </c>
    </row>
    <row r="410" spans="1:10" s="237" customFormat="1" ht="42.75">
      <c r="A410" s="416" t="s">
        <v>837</v>
      </c>
      <c r="B410" s="417" t="s">
        <v>1920</v>
      </c>
      <c r="C410" s="417" t="s">
        <v>1400</v>
      </c>
      <c r="D410" s="416" t="s">
        <v>1921</v>
      </c>
      <c r="E410" s="417" t="s">
        <v>1416</v>
      </c>
      <c r="F410" s="418">
        <v>161.61000000000001</v>
      </c>
      <c r="G410" s="419">
        <v>12.62</v>
      </c>
      <c r="H410" s="418">
        <v>25</v>
      </c>
      <c r="I410" s="419">
        <v>15.78</v>
      </c>
      <c r="J410" s="419">
        <v>2550.21</v>
      </c>
    </row>
    <row r="411" spans="1:10" s="237" customFormat="1" ht="42.75">
      <c r="A411" s="416" t="s">
        <v>838</v>
      </c>
      <c r="B411" s="417" t="s">
        <v>1995</v>
      </c>
      <c r="C411" s="417" t="s">
        <v>1400</v>
      </c>
      <c r="D411" s="416" t="s">
        <v>1996</v>
      </c>
      <c r="E411" s="417" t="s">
        <v>1416</v>
      </c>
      <c r="F411" s="418">
        <v>16.88</v>
      </c>
      <c r="G411" s="419">
        <v>19.309999999999999</v>
      </c>
      <c r="H411" s="418">
        <v>25</v>
      </c>
      <c r="I411" s="419">
        <v>24.14</v>
      </c>
      <c r="J411" s="419">
        <v>407.48</v>
      </c>
    </row>
    <row r="412" spans="1:10" s="237" customFormat="1" ht="57">
      <c r="A412" s="416" t="s">
        <v>908</v>
      </c>
      <c r="B412" s="417" t="s">
        <v>1321</v>
      </c>
      <c r="C412" s="417" t="s">
        <v>1099</v>
      </c>
      <c r="D412" s="416" t="s">
        <v>1997</v>
      </c>
      <c r="E412" s="417" t="s">
        <v>1416</v>
      </c>
      <c r="F412" s="418">
        <v>48.97</v>
      </c>
      <c r="G412" s="419">
        <v>101.26</v>
      </c>
      <c r="H412" s="418">
        <v>25</v>
      </c>
      <c r="I412" s="419">
        <v>126.58</v>
      </c>
      <c r="J412" s="419">
        <v>6198.62</v>
      </c>
    </row>
    <row r="413" spans="1:10" s="237" customFormat="1" ht="42.75">
      <c r="A413" s="416" t="s">
        <v>839</v>
      </c>
      <c r="B413" s="417" t="s">
        <v>1928</v>
      </c>
      <c r="C413" s="417" t="s">
        <v>1400</v>
      </c>
      <c r="D413" s="416" t="s">
        <v>1929</v>
      </c>
      <c r="E413" s="417" t="s">
        <v>1403</v>
      </c>
      <c r="F413" s="418">
        <v>90</v>
      </c>
      <c r="G413" s="419">
        <v>17.46</v>
      </c>
      <c r="H413" s="418">
        <v>25</v>
      </c>
      <c r="I413" s="419">
        <v>21.83</v>
      </c>
      <c r="J413" s="419">
        <v>1964.7</v>
      </c>
    </row>
    <row r="414" spans="1:10" s="237" customFormat="1" ht="42.75">
      <c r="A414" s="416" t="s">
        <v>1366</v>
      </c>
      <c r="B414" s="417" t="s">
        <v>1932</v>
      </c>
      <c r="C414" s="417" t="s">
        <v>1400</v>
      </c>
      <c r="D414" s="416" t="s">
        <v>1933</v>
      </c>
      <c r="E414" s="417" t="s">
        <v>1403</v>
      </c>
      <c r="F414" s="418">
        <v>180</v>
      </c>
      <c r="G414" s="419">
        <v>10.69</v>
      </c>
      <c r="H414" s="418">
        <v>25</v>
      </c>
      <c r="I414" s="419">
        <v>13.36</v>
      </c>
      <c r="J414" s="419">
        <v>2404.8000000000002</v>
      </c>
    </row>
    <row r="415" spans="1:10" s="237" customFormat="1" ht="15" customHeight="1">
      <c r="A415" s="241" t="s">
        <v>1998</v>
      </c>
      <c r="B415" s="242" t="s">
        <v>64</v>
      </c>
      <c r="C415" s="242"/>
      <c r="D415" s="242"/>
      <c r="E415" s="242"/>
      <c r="F415" s="242"/>
      <c r="G415" s="242"/>
      <c r="H415" s="242"/>
      <c r="I415" s="242"/>
      <c r="J415" s="243">
        <v>66336.95</v>
      </c>
    </row>
    <row r="416" spans="1:10" s="237" customFormat="1" ht="28.5">
      <c r="A416" s="416" t="s">
        <v>842</v>
      </c>
      <c r="B416" s="417" t="s">
        <v>1999</v>
      </c>
      <c r="C416" s="417" t="s">
        <v>1400</v>
      </c>
      <c r="D416" s="416" t="s">
        <v>2000</v>
      </c>
      <c r="E416" s="417" t="s">
        <v>1403</v>
      </c>
      <c r="F416" s="418">
        <v>1</v>
      </c>
      <c r="G416" s="419">
        <v>132.38999999999999</v>
      </c>
      <c r="H416" s="418">
        <v>25</v>
      </c>
      <c r="I416" s="419">
        <v>165.49</v>
      </c>
      <c r="J416" s="419">
        <v>165.49</v>
      </c>
    </row>
    <row r="417" spans="1:10" s="237" customFormat="1" ht="28.5">
      <c r="A417" s="416" t="s">
        <v>844</v>
      </c>
      <c r="B417" s="417" t="s">
        <v>1098</v>
      </c>
      <c r="C417" s="417" t="s">
        <v>1099</v>
      </c>
      <c r="D417" s="416" t="s">
        <v>1097</v>
      </c>
      <c r="E417" s="417" t="s">
        <v>1403</v>
      </c>
      <c r="F417" s="418">
        <v>1</v>
      </c>
      <c r="G417" s="419">
        <v>69.58</v>
      </c>
      <c r="H417" s="418">
        <v>25</v>
      </c>
      <c r="I417" s="419">
        <v>86.98</v>
      </c>
      <c r="J417" s="419">
        <v>86.98</v>
      </c>
    </row>
    <row r="418" spans="1:10" s="237" customFormat="1" ht="28.5">
      <c r="A418" s="416" t="s">
        <v>845</v>
      </c>
      <c r="B418" s="417" t="s">
        <v>2001</v>
      </c>
      <c r="C418" s="417" t="s">
        <v>1400</v>
      </c>
      <c r="D418" s="416" t="s">
        <v>2002</v>
      </c>
      <c r="E418" s="417" t="s">
        <v>1403</v>
      </c>
      <c r="F418" s="418">
        <v>18</v>
      </c>
      <c r="G418" s="419">
        <v>73.44</v>
      </c>
      <c r="H418" s="418">
        <v>25</v>
      </c>
      <c r="I418" s="419">
        <v>91.8</v>
      </c>
      <c r="J418" s="419">
        <v>1652.4</v>
      </c>
    </row>
    <row r="419" spans="1:10" s="237" customFormat="1" ht="42.75">
      <c r="A419" s="416" t="s">
        <v>847</v>
      </c>
      <c r="B419" s="417" t="s">
        <v>2003</v>
      </c>
      <c r="C419" s="417" t="s">
        <v>2004</v>
      </c>
      <c r="D419" s="416" t="s">
        <v>2005</v>
      </c>
      <c r="E419" s="417" t="s">
        <v>1403</v>
      </c>
      <c r="F419" s="418">
        <v>16</v>
      </c>
      <c r="G419" s="419">
        <v>23.33</v>
      </c>
      <c r="H419" s="418">
        <v>25</v>
      </c>
      <c r="I419" s="419">
        <v>29.16</v>
      </c>
      <c r="J419" s="419">
        <v>466.56</v>
      </c>
    </row>
    <row r="420" spans="1:10" s="237" customFormat="1" ht="28.5">
      <c r="A420" s="416" t="s">
        <v>849</v>
      </c>
      <c r="B420" s="417" t="s">
        <v>2006</v>
      </c>
      <c r="C420" s="417" t="s">
        <v>1400</v>
      </c>
      <c r="D420" s="416" t="s">
        <v>2007</v>
      </c>
      <c r="E420" s="417" t="s">
        <v>1416</v>
      </c>
      <c r="F420" s="418">
        <v>69.25</v>
      </c>
      <c r="G420" s="419">
        <v>70.680000000000007</v>
      </c>
      <c r="H420" s="418">
        <v>25</v>
      </c>
      <c r="I420" s="419">
        <v>88.35</v>
      </c>
      <c r="J420" s="419">
        <v>6118.24</v>
      </c>
    </row>
    <row r="421" spans="1:10" s="237" customFormat="1" ht="28.5">
      <c r="A421" s="416" t="s">
        <v>851</v>
      </c>
      <c r="B421" s="417" t="s">
        <v>2008</v>
      </c>
      <c r="C421" s="417" t="s">
        <v>1400</v>
      </c>
      <c r="D421" s="416" t="s">
        <v>2009</v>
      </c>
      <c r="E421" s="417" t="s">
        <v>1416</v>
      </c>
      <c r="F421" s="418">
        <v>317.3</v>
      </c>
      <c r="G421" s="419">
        <v>89.91</v>
      </c>
      <c r="H421" s="418">
        <v>25</v>
      </c>
      <c r="I421" s="419">
        <v>112.39</v>
      </c>
      <c r="J421" s="419">
        <v>35661.35</v>
      </c>
    </row>
    <row r="422" spans="1:10" s="237" customFormat="1" ht="28.5">
      <c r="A422" s="416" t="s">
        <v>853</v>
      </c>
      <c r="B422" s="417" t="s">
        <v>2010</v>
      </c>
      <c r="C422" s="417" t="s">
        <v>1400</v>
      </c>
      <c r="D422" s="416" t="s">
        <v>2011</v>
      </c>
      <c r="E422" s="417" t="s">
        <v>1403</v>
      </c>
      <c r="F422" s="418">
        <v>12</v>
      </c>
      <c r="G422" s="419">
        <v>67.239999999999995</v>
      </c>
      <c r="H422" s="418">
        <v>25</v>
      </c>
      <c r="I422" s="419">
        <v>84.05</v>
      </c>
      <c r="J422" s="419">
        <v>1008.6</v>
      </c>
    </row>
    <row r="423" spans="1:10" s="237" customFormat="1" ht="57">
      <c r="A423" s="416" t="s">
        <v>855</v>
      </c>
      <c r="B423" s="417" t="s">
        <v>2012</v>
      </c>
      <c r="C423" s="417" t="s">
        <v>1400</v>
      </c>
      <c r="D423" s="416" t="s">
        <v>2013</v>
      </c>
      <c r="E423" s="417" t="s">
        <v>1403</v>
      </c>
      <c r="F423" s="418">
        <v>12</v>
      </c>
      <c r="G423" s="419">
        <v>772.24</v>
      </c>
      <c r="H423" s="418">
        <v>25</v>
      </c>
      <c r="I423" s="419">
        <v>965.3</v>
      </c>
      <c r="J423" s="419">
        <v>11583.6</v>
      </c>
    </row>
    <row r="424" spans="1:10" s="237" customFormat="1" ht="57">
      <c r="A424" s="416" t="s">
        <v>856</v>
      </c>
      <c r="B424" s="417" t="s">
        <v>1057</v>
      </c>
      <c r="C424" s="417" t="s">
        <v>1099</v>
      </c>
      <c r="D424" s="416" t="s">
        <v>2014</v>
      </c>
      <c r="E424" s="417" t="s">
        <v>1403</v>
      </c>
      <c r="F424" s="418">
        <v>89</v>
      </c>
      <c r="G424" s="419">
        <v>9.7799999999999994</v>
      </c>
      <c r="H424" s="418">
        <v>25</v>
      </c>
      <c r="I424" s="419">
        <v>12.23</v>
      </c>
      <c r="J424" s="419">
        <v>1088.47</v>
      </c>
    </row>
    <row r="425" spans="1:10" s="237" customFormat="1" ht="42.75">
      <c r="A425" s="416" t="s">
        <v>857</v>
      </c>
      <c r="B425" s="417" t="s">
        <v>2015</v>
      </c>
      <c r="C425" s="417" t="s">
        <v>1400</v>
      </c>
      <c r="D425" s="416" t="s">
        <v>2016</v>
      </c>
      <c r="E425" s="417" t="s">
        <v>1403</v>
      </c>
      <c r="F425" s="418">
        <v>17</v>
      </c>
      <c r="G425" s="419">
        <v>67.959999999999994</v>
      </c>
      <c r="H425" s="418">
        <v>25</v>
      </c>
      <c r="I425" s="419">
        <v>84.95</v>
      </c>
      <c r="J425" s="419">
        <v>1444.15</v>
      </c>
    </row>
    <row r="426" spans="1:10" s="237" customFormat="1" ht="42.75">
      <c r="A426" s="416" t="s">
        <v>859</v>
      </c>
      <c r="B426" s="417" t="s">
        <v>985</v>
      </c>
      <c r="C426" s="417" t="s">
        <v>1099</v>
      </c>
      <c r="D426" s="416" t="s">
        <v>2017</v>
      </c>
      <c r="E426" s="417" t="s">
        <v>1403</v>
      </c>
      <c r="F426" s="418">
        <v>18</v>
      </c>
      <c r="G426" s="419">
        <v>20.23</v>
      </c>
      <c r="H426" s="418">
        <v>25</v>
      </c>
      <c r="I426" s="419">
        <v>25.29</v>
      </c>
      <c r="J426" s="419">
        <v>455.22</v>
      </c>
    </row>
    <row r="427" spans="1:10" s="237" customFormat="1" ht="42.75">
      <c r="A427" s="416" t="s">
        <v>860</v>
      </c>
      <c r="B427" s="417" t="s">
        <v>1001</v>
      </c>
      <c r="C427" s="417" t="s">
        <v>1099</v>
      </c>
      <c r="D427" s="416" t="s">
        <v>2018</v>
      </c>
      <c r="E427" s="417" t="s">
        <v>1403</v>
      </c>
      <c r="F427" s="418">
        <v>55</v>
      </c>
      <c r="G427" s="419">
        <v>24.53</v>
      </c>
      <c r="H427" s="418">
        <v>25</v>
      </c>
      <c r="I427" s="419">
        <v>30.66</v>
      </c>
      <c r="J427" s="419">
        <v>1686.3</v>
      </c>
    </row>
    <row r="428" spans="1:10" s="237" customFormat="1" ht="42.75">
      <c r="A428" s="416" t="s">
        <v>861</v>
      </c>
      <c r="B428" s="417" t="s">
        <v>1003</v>
      </c>
      <c r="C428" s="417" t="s">
        <v>1099</v>
      </c>
      <c r="D428" s="416" t="s">
        <v>2019</v>
      </c>
      <c r="E428" s="417" t="s">
        <v>1403</v>
      </c>
      <c r="F428" s="418">
        <v>17</v>
      </c>
      <c r="G428" s="419">
        <v>28.3</v>
      </c>
      <c r="H428" s="418">
        <v>25</v>
      </c>
      <c r="I428" s="419">
        <v>35.380000000000003</v>
      </c>
      <c r="J428" s="419">
        <v>601.46</v>
      </c>
    </row>
    <row r="429" spans="1:10" s="237" customFormat="1" ht="28.5">
      <c r="A429" s="416" t="s">
        <v>862</v>
      </c>
      <c r="B429" s="417" t="s">
        <v>1096</v>
      </c>
      <c r="C429" s="417" t="s">
        <v>1396</v>
      </c>
      <c r="D429" s="416" t="s">
        <v>1095</v>
      </c>
      <c r="E429" s="417" t="s">
        <v>1403</v>
      </c>
      <c r="F429" s="418">
        <v>155</v>
      </c>
      <c r="G429" s="419">
        <v>3.36</v>
      </c>
      <c r="H429" s="418">
        <v>25</v>
      </c>
      <c r="I429" s="419">
        <v>4.2</v>
      </c>
      <c r="J429" s="419">
        <v>651</v>
      </c>
    </row>
    <row r="430" spans="1:10" s="237" customFormat="1" ht="42.75">
      <c r="A430" s="416" t="s">
        <v>863</v>
      </c>
      <c r="B430" s="417" t="s">
        <v>987</v>
      </c>
      <c r="C430" s="417" t="s">
        <v>1099</v>
      </c>
      <c r="D430" s="416" t="s">
        <v>2020</v>
      </c>
      <c r="E430" s="417" t="s">
        <v>1403</v>
      </c>
      <c r="F430" s="418">
        <v>40</v>
      </c>
      <c r="G430" s="419">
        <v>17.3</v>
      </c>
      <c r="H430" s="418">
        <v>25</v>
      </c>
      <c r="I430" s="419">
        <v>21.63</v>
      </c>
      <c r="J430" s="419">
        <v>865.2</v>
      </c>
    </row>
    <row r="431" spans="1:10" s="237" customFormat="1" ht="42.75">
      <c r="A431" s="416" t="s">
        <v>864</v>
      </c>
      <c r="B431" s="417" t="s">
        <v>2021</v>
      </c>
      <c r="C431" s="417" t="s">
        <v>1400</v>
      </c>
      <c r="D431" s="416" t="s">
        <v>2022</v>
      </c>
      <c r="E431" s="417" t="s">
        <v>1416</v>
      </c>
      <c r="F431" s="418">
        <v>91.7</v>
      </c>
      <c r="G431" s="419">
        <v>20.440000000000001</v>
      </c>
      <c r="H431" s="418">
        <v>25</v>
      </c>
      <c r="I431" s="419">
        <v>25.55</v>
      </c>
      <c r="J431" s="419">
        <v>2342.94</v>
      </c>
    </row>
    <row r="432" spans="1:10" s="237" customFormat="1" ht="42.75">
      <c r="A432" s="416" t="s">
        <v>865</v>
      </c>
      <c r="B432" s="417" t="s">
        <v>989</v>
      </c>
      <c r="C432" s="417" t="s">
        <v>1099</v>
      </c>
      <c r="D432" s="416" t="s">
        <v>988</v>
      </c>
      <c r="E432" s="417" t="s">
        <v>1452</v>
      </c>
      <c r="F432" s="418">
        <v>79</v>
      </c>
      <c r="G432" s="419">
        <v>4.6500000000000004</v>
      </c>
      <c r="H432" s="418">
        <v>25</v>
      </c>
      <c r="I432" s="419">
        <v>5.81</v>
      </c>
      <c r="J432" s="419">
        <v>458.99</v>
      </c>
    </row>
    <row r="433" spans="1:10" s="237" customFormat="1" ht="15" customHeight="1">
      <c r="A433" s="241" t="s">
        <v>2023</v>
      </c>
      <c r="B433" s="242" t="s">
        <v>65</v>
      </c>
      <c r="C433" s="242"/>
      <c r="D433" s="242"/>
      <c r="E433" s="242"/>
      <c r="F433" s="242"/>
      <c r="G433" s="242"/>
      <c r="H433" s="242"/>
      <c r="I433" s="242"/>
      <c r="J433" s="243">
        <v>8601.6299999999992</v>
      </c>
    </row>
    <row r="434" spans="1:10" s="237" customFormat="1" ht="85.5">
      <c r="A434" s="416" t="s">
        <v>867</v>
      </c>
      <c r="B434" s="417" t="s">
        <v>991</v>
      </c>
      <c r="C434" s="417" t="s">
        <v>1099</v>
      </c>
      <c r="D434" s="416" t="s">
        <v>2024</v>
      </c>
      <c r="E434" s="417" t="s">
        <v>1403</v>
      </c>
      <c r="F434" s="418">
        <v>1</v>
      </c>
      <c r="G434" s="419">
        <v>4874.47</v>
      </c>
      <c r="H434" s="418">
        <v>25</v>
      </c>
      <c r="I434" s="419">
        <v>6093.09</v>
      </c>
      <c r="J434" s="419">
        <v>6093.09</v>
      </c>
    </row>
    <row r="435" spans="1:10" s="237" customFormat="1" ht="71.25">
      <c r="A435" s="416" t="s">
        <v>868</v>
      </c>
      <c r="B435" s="417" t="s">
        <v>1092</v>
      </c>
      <c r="C435" s="417" t="s">
        <v>1099</v>
      </c>
      <c r="D435" s="416" t="s">
        <v>1091</v>
      </c>
      <c r="E435" s="417" t="s">
        <v>1452</v>
      </c>
      <c r="F435" s="418">
        <v>8.8800000000000008</v>
      </c>
      <c r="G435" s="419">
        <v>68.7</v>
      </c>
      <c r="H435" s="418">
        <v>25</v>
      </c>
      <c r="I435" s="419">
        <v>85.88</v>
      </c>
      <c r="J435" s="419">
        <v>762.61</v>
      </c>
    </row>
    <row r="436" spans="1:10" s="237" customFormat="1" ht="42.75">
      <c r="A436" s="416" t="s">
        <v>958</v>
      </c>
      <c r="B436" s="417" t="s">
        <v>993</v>
      </c>
      <c r="C436" s="417" t="s">
        <v>1099</v>
      </c>
      <c r="D436" s="416" t="s">
        <v>2025</v>
      </c>
      <c r="E436" s="417" t="s">
        <v>1403</v>
      </c>
      <c r="F436" s="418">
        <v>1</v>
      </c>
      <c r="G436" s="419">
        <v>1396.74</v>
      </c>
      <c r="H436" s="418">
        <v>25</v>
      </c>
      <c r="I436" s="419">
        <v>1745.93</v>
      </c>
      <c r="J436" s="419">
        <v>1745.93</v>
      </c>
    </row>
    <row r="437" spans="1:10" s="237" customFormat="1" ht="15" customHeight="1">
      <c r="A437" s="241" t="s">
        <v>2026</v>
      </c>
      <c r="B437" s="242" t="s">
        <v>869</v>
      </c>
      <c r="C437" s="242"/>
      <c r="D437" s="242"/>
      <c r="E437" s="242"/>
      <c r="F437" s="242"/>
      <c r="G437" s="242"/>
      <c r="H437" s="242"/>
      <c r="I437" s="242"/>
      <c r="J437" s="243">
        <v>15658.02</v>
      </c>
    </row>
    <row r="438" spans="1:10" s="237" customFormat="1" ht="42.75">
      <c r="A438" s="416" t="s">
        <v>1367</v>
      </c>
      <c r="B438" s="417" t="s">
        <v>1936</v>
      </c>
      <c r="C438" s="417" t="s">
        <v>1400</v>
      </c>
      <c r="D438" s="416" t="s">
        <v>1937</v>
      </c>
      <c r="E438" s="417" t="s">
        <v>1416</v>
      </c>
      <c r="F438" s="418">
        <v>433.74</v>
      </c>
      <c r="G438" s="419">
        <v>3.12</v>
      </c>
      <c r="H438" s="418">
        <v>25</v>
      </c>
      <c r="I438" s="419">
        <v>3.9</v>
      </c>
      <c r="J438" s="419">
        <v>1691.59</v>
      </c>
    </row>
    <row r="439" spans="1:10" s="237" customFormat="1" ht="42.75">
      <c r="A439" s="416" t="s">
        <v>190</v>
      </c>
      <c r="B439" s="417" t="s">
        <v>2027</v>
      </c>
      <c r="C439" s="417" t="s">
        <v>1400</v>
      </c>
      <c r="D439" s="416" t="s">
        <v>2028</v>
      </c>
      <c r="E439" s="417" t="s">
        <v>1416</v>
      </c>
      <c r="F439" s="418">
        <v>144.58000000000001</v>
      </c>
      <c r="G439" s="419">
        <v>30.57</v>
      </c>
      <c r="H439" s="418">
        <v>25</v>
      </c>
      <c r="I439" s="419">
        <v>38.21</v>
      </c>
      <c r="J439" s="419">
        <v>5524.4</v>
      </c>
    </row>
    <row r="440" spans="1:10" s="237" customFormat="1" ht="42.75">
      <c r="A440" s="416" t="s">
        <v>191</v>
      </c>
      <c r="B440" s="417" t="s">
        <v>2029</v>
      </c>
      <c r="C440" s="417" t="s">
        <v>1400</v>
      </c>
      <c r="D440" s="416" t="s">
        <v>2030</v>
      </c>
      <c r="E440" s="417" t="s">
        <v>1416</v>
      </c>
      <c r="F440" s="418">
        <v>144.58000000000001</v>
      </c>
      <c r="G440" s="419">
        <v>46.71</v>
      </c>
      <c r="H440" s="418">
        <v>25</v>
      </c>
      <c r="I440" s="419">
        <v>58.39</v>
      </c>
      <c r="J440" s="419">
        <v>8442.0300000000007</v>
      </c>
    </row>
    <row r="441" spans="1:10" s="237" customFormat="1" ht="15" customHeight="1">
      <c r="A441" s="241" t="s">
        <v>2031</v>
      </c>
      <c r="B441" s="242" t="s">
        <v>66</v>
      </c>
      <c r="C441" s="242"/>
      <c r="D441" s="242"/>
      <c r="E441" s="242"/>
      <c r="F441" s="242"/>
      <c r="G441" s="242"/>
      <c r="H441" s="242"/>
      <c r="I441" s="242"/>
      <c r="J441" s="243">
        <v>74246.52</v>
      </c>
    </row>
    <row r="442" spans="1:10" s="237" customFormat="1" ht="14.25">
      <c r="A442" s="416" t="s">
        <v>193</v>
      </c>
      <c r="B442" s="417" t="s">
        <v>1058</v>
      </c>
      <c r="C442" s="417" t="s">
        <v>1396</v>
      </c>
      <c r="D442" s="416" t="s">
        <v>387</v>
      </c>
      <c r="E442" s="417" t="s">
        <v>1398</v>
      </c>
      <c r="F442" s="418">
        <v>56.35</v>
      </c>
      <c r="G442" s="419">
        <v>908.8</v>
      </c>
      <c r="H442" s="418">
        <v>25</v>
      </c>
      <c r="I442" s="419">
        <v>1136</v>
      </c>
      <c r="J442" s="419">
        <v>64013.599999999999</v>
      </c>
    </row>
    <row r="443" spans="1:10" s="237" customFormat="1" ht="42.75">
      <c r="A443" s="416" t="s">
        <v>194</v>
      </c>
      <c r="B443" s="417" t="s">
        <v>2032</v>
      </c>
      <c r="C443" s="417" t="s">
        <v>1400</v>
      </c>
      <c r="D443" s="416" t="s">
        <v>2033</v>
      </c>
      <c r="E443" s="417" t="s">
        <v>1416</v>
      </c>
      <c r="F443" s="418">
        <v>5.13</v>
      </c>
      <c r="G443" s="419">
        <v>164.64</v>
      </c>
      <c r="H443" s="418">
        <v>25</v>
      </c>
      <c r="I443" s="419">
        <v>205.8</v>
      </c>
      <c r="J443" s="419">
        <v>1055.75</v>
      </c>
    </row>
    <row r="444" spans="1:10" s="237" customFormat="1" ht="28.5">
      <c r="A444" s="416" t="s">
        <v>195</v>
      </c>
      <c r="B444" s="417" t="s">
        <v>1059</v>
      </c>
      <c r="C444" s="417" t="s">
        <v>1396</v>
      </c>
      <c r="D444" s="416" t="s">
        <v>385</v>
      </c>
      <c r="E444" s="417" t="s">
        <v>1416</v>
      </c>
      <c r="F444" s="418">
        <v>6.5</v>
      </c>
      <c r="G444" s="419">
        <v>113.29</v>
      </c>
      <c r="H444" s="418">
        <v>25</v>
      </c>
      <c r="I444" s="419">
        <v>141.61000000000001</v>
      </c>
      <c r="J444" s="419">
        <v>920.47</v>
      </c>
    </row>
    <row r="445" spans="1:10" s="237" customFormat="1" ht="42.75">
      <c r="A445" s="416" t="s">
        <v>196</v>
      </c>
      <c r="B445" s="417" t="s">
        <v>1060</v>
      </c>
      <c r="C445" s="417" t="s">
        <v>1396</v>
      </c>
      <c r="D445" s="416" t="s">
        <v>277</v>
      </c>
      <c r="E445" s="417" t="s">
        <v>1416</v>
      </c>
      <c r="F445" s="418">
        <v>7.2</v>
      </c>
      <c r="G445" s="419">
        <v>237.53</v>
      </c>
      <c r="H445" s="418">
        <v>25</v>
      </c>
      <c r="I445" s="419">
        <v>296.91000000000003</v>
      </c>
      <c r="J445" s="419">
        <v>2137.75</v>
      </c>
    </row>
    <row r="446" spans="1:10" s="237" customFormat="1" ht="14.25">
      <c r="A446" s="416" t="s">
        <v>197</v>
      </c>
      <c r="B446" s="417" t="s">
        <v>894</v>
      </c>
      <c r="C446" s="417" t="s">
        <v>1396</v>
      </c>
      <c r="D446" s="416" t="s">
        <v>895</v>
      </c>
      <c r="E446" s="417" t="s">
        <v>1416</v>
      </c>
      <c r="F446" s="418">
        <v>19</v>
      </c>
      <c r="G446" s="419">
        <v>78.31</v>
      </c>
      <c r="H446" s="418">
        <v>25</v>
      </c>
      <c r="I446" s="419">
        <v>97.89</v>
      </c>
      <c r="J446" s="419">
        <v>1859.91</v>
      </c>
    </row>
    <row r="447" spans="1:10" s="237" customFormat="1" ht="28.5">
      <c r="A447" s="416" t="s">
        <v>1228</v>
      </c>
      <c r="B447" s="417" t="s">
        <v>1061</v>
      </c>
      <c r="C447" s="417" t="s">
        <v>1396</v>
      </c>
      <c r="D447" s="416" t="s">
        <v>957</v>
      </c>
      <c r="E447" s="417" t="s">
        <v>1403</v>
      </c>
      <c r="F447" s="418">
        <v>38</v>
      </c>
      <c r="G447" s="419">
        <v>89.66</v>
      </c>
      <c r="H447" s="418">
        <v>25</v>
      </c>
      <c r="I447" s="419">
        <v>112.08</v>
      </c>
      <c r="J447" s="419">
        <v>4259.04</v>
      </c>
    </row>
    <row r="448" spans="1:10" s="237" customFormat="1" ht="15" customHeight="1">
      <c r="A448" s="241" t="s">
        <v>2034</v>
      </c>
      <c r="B448" s="242" t="s">
        <v>1264</v>
      </c>
      <c r="C448" s="242"/>
      <c r="D448" s="242"/>
      <c r="E448" s="242"/>
      <c r="F448" s="242"/>
      <c r="G448" s="242"/>
      <c r="H448" s="242"/>
      <c r="I448" s="242"/>
      <c r="J448" s="243">
        <v>198969.12</v>
      </c>
    </row>
    <row r="449" spans="1:10" s="237" customFormat="1" ht="28.5">
      <c r="A449" s="416" t="s">
        <v>199</v>
      </c>
      <c r="B449" s="417" t="s">
        <v>1563</v>
      </c>
      <c r="C449" s="417" t="s">
        <v>1400</v>
      </c>
      <c r="D449" s="416" t="s">
        <v>1564</v>
      </c>
      <c r="E449" s="417" t="s">
        <v>1422</v>
      </c>
      <c r="F449" s="418">
        <v>32.79</v>
      </c>
      <c r="G449" s="419">
        <v>108.67</v>
      </c>
      <c r="H449" s="418">
        <v>25</v>
      </c>
      <c r="I449" s="419">
        <v>135.84</v>
      </c>
      <c r="J449" s="419">
        <v>4454.1899999999996</v>
      </c>
    </row>
    <row r="450" spans="1:10" s="237" customFormat="1" ht="28.5">
      <c r="A450" s="416" t="s">
        <v>200</v>
      </c>
      <c r="B450" s="417" t="s">
        <v>1432</v>
      </c>
      <c r="C450" s="417" t="s">
        <v>1400</v>
      </c>
      <c r="D450" s="416" t="s">
        <v>1433</v>
      </c>
      <c r="E450" s="417" t="s">
        <v>1398</v>
      </c>
      <c r="F450" s="418">
        <v>109.29</v>
      </c>
      <c r="G450" s="419">
        <v>8.15</v>
      </c>
      <c r="H450" s="418">
        <v>25</v>
      </c>
      <c r="I450" s="419">
        <v>10.19</v>
      </c>
      <c r="J450" s="419">
        <v>1113.67</v>
      </c>
    </row>
    <row r="451" spans="1:10" s="237" customFormat="1" ht="28.5">
      <c r="A451" s="416" t="s">
        <v>445</v>
      </c>
      <c r="B451" s="417" t="s">
        <v>1434</v>
      </c>
      <c r="C451" s="417" t="s">
        <v>1400</v>
      </c>
      <c r="D451" s="416" t="s">
        <v>1435</v>
      </c>
      <c r="E451" s="417" t="s">
        <v>1422</v>
      </c>
      <c r="F451" s="418">
        <v>14.95</v>
      </c>
      <c r="G451" s="419">
        <v>32.549999999999997</v>
      </c>
      <c r="H451" s="418">
        <v>25</v>
      </c>
      <c r="I451" s="419">
        <v>40.69</v>
      </c>
      <c r="J451" s="419">
        <v>608.32000000000005</v>
      </c>
    </row>
    <row r="452" spans="1:10" s="237" customFormat="1" ht="42.75">
      <c r="A452" s="416" t="s">
        <v>444</v>
      </c>
      <c r="B452" s="417" t="s">
        <v>2035</v>
      </c>
      <c r="C452" s="417" t="s">
        <v>1400</v>
      </c>
      <c r="D452" s="416" t="s">
        <v>2036</v>
      </c>
      <c r="E452" s="417" t="s">
        <v>1422</v>
      </c>
      <c r="F452" s="418">
        <v>2.88</v>
      </c>
      <c r="G452" s="419">
        <v>531.03</v>
      </c>
      <c r="H452" s="418">
        <v>25</v>
      </c>
      <c r="I452" s="419">
        <v>663.79</v>
      </c>
      <c r="J452" s="419">
        <v>1911.72</v>
      </c>
    </row>
    <row r="453" spans="1:10" s="237" customFormat="1" ht="42.75">
      <c r="A453" s="416" t="s">
        <v>253</v>
      </c>
      <c r="B453" s="417" t="s">
        <v>1469</v>
      </c>
      <c r="C453" s="417" t="s">
        <v>1400</v>
      </c>
      <c r="D453" s="416" t="s">
        <v>1470</v>
      </c>
      <c r="E453" s="417" t="s">
        <v>1398</v>
      </c>
      <c r="F453" s="418">
        <v>99.69</v>
      </c>
      <c r="G453" s="419">
        <v>34.42</v>
      </c>
      <c r="H453" s="418">
        <v>25</v>
      </c>
      <c r="I453" s="419">
        <v>43.03</v>
      </c>
      <c r="J453" s="419">
        <v>4289.66</v>
      </c>
    </row>
    <row r="454" spans="1:10" s="237" customFormat="1" ht="42.75">
      <c r="A454" s="416" t="s">
        <v>872</v>
      </c>
      <c r="B454" s="417" t="s">
        <v>2037</v>
      </c>
      <c r="C454" s="417" t="s">
        <v>1400</v>
      </c>
      <c r="D454" s="416" t="s">
        <v>2038</v>
      </c>
      <c r="E454" s="417" t="s">
        <v>1398</v>
      </c>
      <c r="F454" s="418">
        <v>138</v>
      </c>
      <c r="G454" s="419">
        <v>157.38999999999999</v>
      </c>
      <c r="H454" s="418">
        <v>25</v>
      </c>
      <c r="I454" s="419">
        <v>196.74</v>
      </c>
      <c r="J454" s="419">
        <v>27150.12</v>
      </c>
    </row>
    <row r="455" spans="1:10" s="237" customFormat="1" ht="28.5">
      <c r="A455" s="416" t="s">
        <v>873</v>
      </c>
      <c r="B455" s="417" t="s">
        <v>1474</v>
      </c>
      <c r="C455" s="417" t="s">
        <v>1400</v>
      </c>
      <c r="D455" s="416" t="s">
        <v>1475</v>
      </c>
      <c r="E455" s="417" t="s">
        <v>1398</v>
      </c>
      <c r="F455" s="418">
        <v>166.15</v>
      </c>
      <c r="G455" s="419">
        <v>45.24</v>
      </c>
      <c r="H455" s="418">
        <v>25</v>
      </c>
      <c r="I455" s="419">
        <v>56.55</v>
      </c>
      <c r="J455" s="419">
        <v>9395.7800000000007</v>
      </c>
    </row>
    <row r="456" spans="1:10" s="237" customFormat="1" ht="42.75">
      <c r="A456" s="416" t="s">
        <v>874</v>
      </c>
      <c r="B456" s="417" t="s">
        <v>1479</v>
      </c>
      <c r="C456" s="417" t="s">
        <v>1400</v>
      </c>
      <c r="D456" s="416" t="s">
        <v>1480</v>
      </c>
      <c r="E456" s="417" t="s">
        <v>1422</v>
      </c>
      <c r="F456" s="418">
        <v>6.08</v>
      </c>
      <c r="G456" s="419">
        <v>464.49</v>
      </c>
      <c r="H456" s="418">
        <v>25</v>
      </c>
      <c r="I456" s="419">
        <v>580.61</v>
      </c>
      <c r="J456" s="419">
        <v>3530.11</v>
      </c>
    </row>
    <row r="457" spans="1:10" s="237" customFormat="1" ht="42.75">
      <c r="A457" s="416" t="s">
        <v>875</v>
      </c>
      <c r="B457" s="417" t="s">
        <v>1482</v>
      </c>
      <c r="C457" s="417" t="s">
        <v>1400</v>
      </c>
      <c r="D457" s="416" t="s">
        <v>1483</v>
      </c>
      <c r="E457" s="417" t="s">
        <v>1422</v>
      </c>
      <c r="F457" s="418">
        <v>8.31</v>
      </c>
      <c r="G457" s="419">
        <v>478.6</v>
      </c>
      <c r="H457" s="418">
        <v>25</v>
      </c>
      <c r="I457" s="419">
        <v>598.25</v>
      </c>
      <c r="J457" s="419">
        <v>4971.46</v>
      </c>
    </row>
    <row r="458" spans="1:10" s="237" customFormat="1" ht="28.5">
      <c r="A458" s="416" t="s">
        <v>876</v>
      </c>
      <c r="B458" s="417" t="s">
        <v>1484</v>
      </c>
      <c r="C458" s="417" t="s">
        <v>1400</v>
      </c>
      <c r="D458" s="416" t="s">
        <v>1485</v>
      </c>
      <c r="E458" s="417" t="s">
        <v>1422</v>
      </c>
      <c r="F458" s="418">
        <v>14.39</v>
      </c>
      <c r="G458" s="419">
        <v>379.73</v>
      </c>
      <c r="H458" s="418">
        <v>25</v>
      </c>
      <c r="I458" s="419">
        <v>474.66</v>
      </c>
      <c r="J458" s="419">
        <v>6830.36</v>
      </c>
    </row>
    <row r="459" spans="1:10" s="237" customFormat="1" ht="28.5">
      <c r="A459" s="416" t="s">
        <v>877</v>
      </c>
      <c r="B459" s="417" t="s">
        <v>2039</v>
      </c>
      <c r="C459" s="417" t="s">
        <v>1400</v>
      </c>
      <c r="D459" s="416" t="s">
        <v>2040</v>
      </c>
      <c r="E459" s="417" t="s">
        <v>1452</v>
      </c>
      <c r="F459" s="418">
        <v>105.27</v>
      </c>
      <c r="G459" s="419">
        <v>20.95</v>
      </c>
      <c r="H459" s="418">
        <v>25</v>
      </c>
      <c r="I459" s="419">
        <v>26.19</v>
      </c>
      <c r="J459" s="419">
        <v>2757.02</v>
      </c>
    </row>
    <row r="460" spans="1:10" s="237" customFormat="1" ht="28.5">
      <c r="A460" s="416" t="s">
        <v>878</v>
      </c>
      <c r="B460" s="417" t="s">
        <v>1467</v>
      </c>
      <c r="C460" s="417" t="s">
        <v>1400</v>
      </c>
      <c r="D460" s="416" t="s">
        <v>1468</v>
      </c>
      <c r="E460" s="417" t="s">
        <v>1452</v>
      </c>
      <c r="F460" s="418">
        <v>400.69</v>
      </c>
      <c r="G460" s="419">
        <v>14.93</v>
      </c>
      <c r="H460" s="418">
        <v>25</v>
      </c>
      <c r="I460" s="419">
        <v>18.66</v>
      </c>
      <c r="J460" s="419">
        <v>7476.88</v>
      </c>
    </row>
    <row r="461" spans="1:10" s="237" customFormat="1" ht="42.75">
      <c r="A461" s="416" t="s">
        <v>879</v>
      </c>
      <c r="B461" s="417" t="s">
        <v>2041</v>
      </c>
      <c r="C461" s="417" t="s">
        <v>1400</v>
      </c>
      <c r="D461" s="416" t="s">
        <v>2042</v>
      </c>
      <c r="E461" s="417" t="s">
        <v>1398</v>
      </c>
      <c r="F461" s="418">
        <v>142</v>
      </c>
      <c r="G461" s="419">
        <v>122.58</v>
      </c>
      <c r="H461" s="418">
        <v>25</v>
      </c>
      <c r="I461" s="419">
        <v>153.22999999999999</v>
      </c>
      <c r="J461" s="419">
        <v>21758.66</v>
      </c>
    </row>
    <row r="462" spans="1:10" s="237" customFormat="1" ht="42.75">
      <c r="A462" s="416" t="s">
        <v>880</v>
      </c>
      <c r="B462" s="417" t="s">
        <v>2043</v>
      </c>
      <c r="C462" s="417" t="s">
        <v>1400</v>
      </c>
      <c r="D462" s="416" t="s">
        <v>2044</v>
      </c>
      <c r="E462" s="417" t="s">
        <v>1452</v>
      </c>
      <c r="F462" s="418">
        <v>94.09</v>
      </c>
      <c r="G462" s="419">
        <v>16.48</v>
      </c>
      <c r="H462" s="418">
        <v>25</v>
      </c>
      <c r="I462" s="419">
        <v>20.6</v>
      </c>
      <c r="J462" s="419">
        <v>1938.25</v>
      </c>
    </row>
    <row r="463" spans="1:10" s="237" customFormat="1" ht="42.75">
      <c r="A463" s="416" t="s">
        <v>881</v>
      </c>
      <c r="B463" s="417" t="s">
        <v>2045</v>
      </c>
      <c r="C463" s="417" t="s">
        <v>1400</v>
      </c>
      <c r="D463" s="416" t="s">
        <v>2046</v>
      </c>
      <c r="E463" s="417" t="s">
        <v>1452</v>
      </c>
      <c r="F463" s="418">
        <v>435.32</v>
      </c>
      <c r="G463" s="419">
        <v>12.59</v>
      </c>
      <c r="H463" s="418">
        <v>25</v>
      </c>
      <c r="I463" s="419">
        <v>15.74</v>
      </c>
      <c r="J463" s="419">
        <v>6851.94</v>
      </c>
    </row>
    <row r="464" spans="1:10" s="237" customFormat="1" ht="28.5">
      <c r="A464" s="416" t="s">
        <v>882</v>
      </c>
      <c r="B464" s="417" t="s">
        <v>2047</v>
      </c>
      <c r="C464" s="417" t="s">
        <v>1400</v>
      </c>
      <c r="D464" s="416" t="s">
        <v>2048</v>
      </c>
      <c r="E464" s="417" t="s">
        <v>1416</v>
      </c>
      <c r="F464" s="418">
        <v>115.34</v>
      </c>
      <c r="G464" s="419">
        <v>40.86</v>
      </c>
      <c r="H464" s="418">
        <v>25</v>
      </c>
      <c r="I464" s="419">
        <v>51.08</v>
      </c>
      <c r="J464" s="419">
        <v>5891.57</v>
      </c>
    </row>
    <row r="465" spans="1:10" s="237" customFormat="1" ht="57">
      <c r="A465" s="416" t="s">
        <v>883</v>
      </c>
      <c r="B465" s="417" t="s">
        <v>1497</v>
      </c>
      <c r="C465" s="417" t="s">
        <v>1400</v>
      </c>
      <c r="D465" s="416" t="s">
        <v>1498</v>
      </c>
      <c r="E465" s="417" t="s">
        <v>1398</v>
      </c>
      <c r="F465" s="418">
        <v>299.52999999999997</v>
      </c>
      <c r="G465" s="419">
        <v>61.06</v>
      </c>
      <c r="H465" s="418">
        <v>25</v>
      </c>
      <c r="I465" s="419">
        <v>76.33</v>
      </c>
      <c r="J465" s="419">
        <v>22863.119999999999</v>
      </c>
    </row>
    <row r="466" spans="1:10" s="237" customFormat="1" ht="57">
      <c r="A466" s="416" t="s">
        <v>884</v>
      </c>
      <c r="B466" s="417" t="s">
        <v>1504</v>
      </c>
      <c r="C466" s="417" t="s">
        <v>1400</v>
      </c>
      <c r="D466" s="416" t="s">
        <v>1505</v>
      </c>
      <c r="E466" s="417" t="s">
        <v>1398</v>
      </c>
      <c r="F466" s="418">
        <v>609.99</v>
      </c>
      <c r="G466" s="419">
        <v>4.95</v>
      </c>
      <c r="H466" s="418">
        <v>25</v>
      </c>
      <c r="I466" s="419">
        <v>6.19</v>
      </c>
      <c r="J466" s="419">
        <v>3775.84</v>
      </c>
    </row>
    <row r="467" spans="1:10" s="237" customFormat="1" ht="57">
      <c r="A467" s="416" t="s">
        <v>885</v>
      </c>
      <c r="B467" s="417" t="s">
        <v>1506</v>
      </c>
      <c r="C467" s="417" t="s">
        <v>1400</v>
      </c>
      <c r="D467" s="416" t="s">
        <v>1507</v>
      </c>
      <c r="E467" s="417" t="s">
        <v>1398</v>
      </c>
      <c r="F467" s="418">
        <v>609.99</v>
      </c>
      <c r="G467" s="419">
        <v>49.95</v>
      </c>
      <c r="H467" s="418">
        <v>25</v>
      </c>
      <c r="I467" s="419">
        <v>62.44</v>
      </c>
      <c r="J467" s="419">
        <v>38087.78</v>
      </c>
    </row>
    <row r="468" spans="1:10" s="237" customFormat="1" ht="28.5">
      <c r="A468" s="416" t="s">
        <v>886</v>
      </c>
      <c r="B468" s="417" t="s">
        <v>2049</v>
      </c>
      <c r="C468" s="417" t="s">
        <v>1400</v>
      </c>
      <c r="D468" s="416" t="s">
        <v>2050</v>
      </c>
      <c r="E468" s="417" t="s">
        <v>1398</v>
      </c>
      <c r="F468" s="418">
        <v>609.99</v>
      </c>
      <c r="G468" s="419">
        <v>4.1500000000000004</v>
      </c>
      <c r="H468" s="418">
        <v>25</v>
      </c>
      <c r="I468" s="419">
        <v>5.19</v>
      </c>
      <c r="J468" s="419">
        <v>3165.85</v>
      </c>
    </row>
    <row r="469" spans="1:10" s="237" customFormat="1" ht="28.5">
      <c r="A469" s="416" t="s">
        <v>887</v>
      </c>
      <c r="B469" s="417" t="s">
        <v>1603</v>
      </c>
      <c r="C469" s="417" t="s">
        <v>1400</v>
      </c>
      <c r="D469" s="416" t="s">
        <v>1604</v>
      </c>
      <c r="E469" s="417" t="s">
        <v>1398</v>
      </c>
      <c r="F469" s="418">
        <v>609.99</v>
      </c>
      <c r="G469" s="419">
        <v>13.96</v>
      </c>
      <c r="H469" s="418">
        <v>25</v>
      </c>
      <c r="I469" s="419">
        <v>17.45</v>
      </c>
      <c r="J469" s="419">
        <v>10644.33</v>
      </c>
    </row>
    <row r="470" spans="1:10" s="237" customFormat="1" ht="28.5">
      <c r="A470" s="416" t="s">
        <v>888</v>
      </c>
      <c r="B470" s="417" t="s">
        <v>1012</v>
      </c>
      <c r="C470" s="417" t="s">
        <v>1396</v>
      </c>
      <c r="D470" s="416" t="s">
        <v>1531</v>
      </c>
      <c r="E470" s="417" t="s">
        <v>1416</v>
      </c>
      <c r="F470" s="418">
        <v>106.28</v>
      </c>
      <c r="G470" s="419">
        <v>71.53</v>
      </c>
      <c r="H470" s="418">
        <v>25</v>
      </c>
      <c r="I470" s="419">
        <v>89.41</v>
      </c>
      <c r="J470" s="419">
        <v>9502.49</v>
      </c>
    </row>
    <row r="471" spans="1:10" s="237" customFormat="1" ht="15" customHeight="1">
      <c r="A471" s="241" t="s">
        <v>2051</v>
      </c>
      <c r="B471" s="242" t="s">
        <v>67</v>
      </c>
      <c r="C471" s="242"/>
      <c r="D471" s="242"/>
      <c r="E471" s="242"/>
      <c r="F471" s="242"/>
      <c r="G471" s="242"/>
      <c r="H471" s="242"/>
      <c r="I471" s="242"/>
      <c r="J471" s="243">
        <v>257044.65</v>
      </c>
    </row>
    <row r="472" spans="1:10" s="237" customFormat="1" ht="28.5">
      <c r="A472" s="416" t="s">
        <v>254</v>
      </c>
      <c r="B472" s="417" t="s">
        <v>2052</v>
      </c>
      <c r="C472" s="417" t="s">
        <v>1400</v>
      </c>
      <c r="D472" s="416" t="s">
        <v>2053</v>
      </c>
      <c r="E472" s="417" t="s">
        <v>2054</v>
      </c>
      <c r="F472" s="418">
        <v>400</v>
      </c>
      <c r="G472" s="419">
        <v>118.99</v>
      </c>
      <c r="H472" s="418">
        <v>25</v>
      </c>
      <c r="I472" s="419">
        <v>148.74</v>
      </c>
      <c r="J472" s="419">
        <v>59496</v>
      </c>
    </row>
    <row r="473" spans="1:10" s="237" customFormat="1" ht="14.25">
      <c r="A473" s="416" t="s">
        <v>255</v>
      </c>
      <c r="B473" s="417" t="s">
        <v>2055</v>
      </c>
      <c r="C473" s="417" t="s">
        <v>1400</v>
      </c>
      <c r="D473" s="416" t="s">
        <v>2056</v>
      </c>
      <c r="E473" s="417" t="s">
        <v>2054</v>
      </c>
      <c r="F473" s="418">
        <v>800</v>
      </c>
      <c r="G473" s="419">
        <v>46.42</v>
      </c>
      <c r="H473" s="418">
        <v>25</v>
      </c>
      <c r="I473" s="419">
        <v>58.03</v>
      </c>
      <c r="J473" s="419">
        <v>46424</v>
      </c>
    </row>
    <row r="474" spans="1:10" s="237" customFormat="1" ht="14.25">
      <c r="A474" s="416" t="s">
        <v>889</v>
      </c>
      <c r="B474" s="417" t="s">
        <v>2057</v>
      </c>
      <c r="C474" s="417" t="s">
        <v>1400</v>
      </c>
      <c r="D474" s="416" t="s">
        <v>2058</v>
      </c>
      <c r="E474" s="417" t="s">
        <v>2054</v>
      </c>
      <c r="F474" s="418">
        <v>1500</v>
      </c>
      <c r="G474" s="419">
        <v>35.65</v>
      </c>
      <c r="H474" s="418">
        <v>25</v>
      </c>
      <c r="I474" s="419">
        <v>44.56</v>
      </c>
      <c r="J474" s="419">
        <v>66840</v>
      </c>
    </row>
    <row r="475" spans="1:10" s="237" customFormat="1" ht="28.5">
      <c r="A475" s="416" t="s">
        <v>890</v>
      </c>
      <c r="B475" s="417" t="s">
        <v>2059</v>
      </c>
      <c r="C475" s="417" t="s">
        <v>1400</v>
      </c>
      <c r="D475" s="416" t="s">
        <v>948</v>
      </c>
      <c r="E475" s="417" t="s">
        <v>2054</v>
      </c>
      <c r="F475" s="418">
        <v>800</v>
      </c>
      <c r="G475" s="419">
        <v>44.41</v>
      </c>
      <c r="H475" s="418">
        <v>25</v>
      </c>
      <c r="I475" s="419">
        <v>55.51</v>
      </c>
      <c r="J475" s="419">
        <v>44408</v>
      </c>
    </row>
    <row r="476" spans="1:10" s="237" customFormat="1" ht="42.75">
      <c r="A476" s="416" t="s">
        <v>891</v>
      </c>
      <c r="B476" s="417" t="s">
        <v>1265</v>
      </c>
      <c r="C476" s="417" t="s">
        <v>1099</v>
      </c>
      <c r="D476" s="416" t="s">
        <v>1134</v>
      </c>
      <c r="E476" s="417" t="s">
        <v>2060</v>
      </c>
      <c r="F476" s="418">
        <v>5</v>
      </c>
      <c r="G476" s="419">
        <v>6380.26</v>
      </c>
      <c r="H476" s="418">
        <v>25</v>
      </c>
      <c r="I476" s="419">
        <v>7975.33</v>
      </c>
      <c r="J476" s="419">
        <v>39876.65</v>
      </c>
    </row>
    <row r="477" spans="1:10" s="237" customFormat="1" ht="15" customHeight="1">
      <c r="A477" s="241" t="s">
        <v>2061</v>
      </c>
      <c r="B477" s="242" t="s">
        <v>70</v>
      </c>
      <c r="C477" s="242"/>
      <c r="D477" s="242"/>
      <c r="E477" s="242"/>
      <c r="F477" s="242"/>
      <c r="G477" s="242"/>
      <c r="H477" s="242"/>
      <c r="I477" s="242"/>
      <c r="J477" s="243">
        <v>9572.93</v>
      </c>
    </row>
    <row r="478" spans="1:10" s="237" customFormat="1" ht="28.5">
      <c r="A478" s="416" t="s">
        <v>893</v>
      </c>
      <c r="B478" s="417" t="s">
        <v>2062</v>
      </c>
      <c r="C478" s="417" t="s">
        <v>1400</v>
      </c>
      <c r="D478" s="416" t="s">
        <v>2063</v>
      </c>
      <c r="E478" s="417" t="s">
        <v>1398</v>
      </c>
      <c r="F478" s="418">
        <v>1831.76</v>
      </c>
      <c r="G478" s="419">
        <v>2.66</v>
      </c>
      <c r="H478" s="418">
        <v>25</v>
      </c>
      <c r="I478" s="419">
        <v>3.33</v>
      </c>
      <c r="J478" s="419">
        <v>6099.76</v>
      </c>
    </row>
    <row r="479" spans="1:10" s="237" customFormat="1" ht="28.5">
      <c r="A479" s="416" t="s">
        <v>1120</v>
      </c>
      <c r="B479" s="417" t="s">
        <v>2064</v>
      </c>
      <c r="C479" s="417" t="s">
        <v>1400</v>
      </c>
      <c r="D479" s="416" t="s">
        <v>2065</v>
      </c>
      <c r="E479" s="417" t="s">
        <v>1398</v>
      </c>
      <c r="F479" s="418">
        <v>2553.8000000000002</v>
      </c>
      <c r="G479" s="419">
        <v>1.0900000000000001</v>
      </c>
      <c r="H479" s="418">
        <v>25</v>
      </c>
      <c r="I479" s="419">
        <v>1.36</v>
      </c>
      <c r="J479" s="419">
        <v>3473.17</v>
      </c>
    </row>
    <row r="480" spans="1:10" s="237" customFormat="1">
      <c r="A480" s="420"/>
      <c r="B480" s="420"/>
      <c r="C480" s="420"/>
      <c r="D480" s="420"/>
      <c r="E480" s="420"/>
      <c r="F480" s="420"/>
      <c r="G480" s="420"/>
      <c r="H480" s="483" t="s">
        <v>2066</v>
      </c>
      <c r="I480" s="483"/>
      <c r="J480" s="415">
        <v>1142827.1000000001</v>
      </c>
    </row>
    <row r="481" spans="1:10" s="237" customFormat="1">
      <c r="A481" s="420"/>
      <c r="B481" s="420"/>
      <c r="C481" s="420"/>
      <c r="D481" s="420"/>
      <c r="E481" s="420"/>
      <c r="F481" s="420"/>
      <c r="G481" s="420"/>
      <c r="H481" s="483" t="s">
        <v>2067</v>
      </c>
      <c r="I481" s="483"/>
      <c r="J481" s="415">
        <v>4792359.58</v>
      </c>
    </row>
    <row r="482" spans="1:10" s="237" customFormat="1">
      <c r="A482" s="420"/>
      <c r="B482" s="420"/>
      <c r="C482" s="420"/>
      <c r="D482" s="420"/>
      <c r="E482" s="420"/>
      <c r="F482" s="420"/>
      <c r="G482" s="420"/>
      <c r="H482" s="483" t="s">
        <v>2068</v>
      </c>
      <c r="I482" s="483"/>
      <c r="J482" s="415">
        <v>5935186.6799999997</v>
      </c>
    </row>
    <row r="483" spans="1:10" ht="15" customHeight="1">
      <c r="A483" s="140"/>
      <c r="B483" s="140"/>
      <c r="C483" s="140"/>
      <c r="D483" s="140"/>
      <c r="E483" s="140"/>
      <c r="F483" s="140"/>
      <c r="G483" s="140"/>
      <c r="H483" s="235"/>
      <c r="I483" s="235"/>
      <c r="J483" s="236"/>
    </row>
    <row r="484" spans="1:10" ht="15" customHeight="1">
      <c r="A484" s="140"/>
      <c r="B484" s="140"/>
      <c r="C484" s="140"/>
      <c r="D484" s="140"/>
      <c r="E484" s="140"/>
      <c r="F484" s="140"/>
      <c r="G484" s="140"/>
      <c r="H484" s="235"/>
      <c r="I484" s="235"/>
      <c r="J484" s="236"/>
    </row>
    <row r="485" spans="1:10" s="143" customFormat="1" ht="14.25">
      <c r="A485" s="142"/>
      <c r="B485" s="142"/>
      <c r="C485" s="142"/>
      <c r="D485" s="142"/>
      <c r="E485" s="142"/>
      <c r="F485" s="142"/>
      <c r="G485" s="142"/>
      <c r="H485" s="142"/>
      <c r="I485" s="142"/>
      <c r="J485" s="142"/>
    </row>
    <row r="486" spans="1:10" s="234" customFormat="1" ht="80.25" customHeight="1">
      <c r="A486" s="484" t="s">
        <v>1259</v>
      </c>
      <c r="B486" s="484"/>
      <c r="C486" s="484"/>
      <c r="D486" s="484"/>
      <c r="E486" s="484"/>
      <c r="F486" s="484"/>
      <c r="G486" s="484"/>
      <c r="H486" s="484"/>
      <c r="I486" s="484"/>
      <c r="J486" s="484"/>
    </row>
  </sheetData>
  <mergeCells count="17">
    <mergeCell ref="A1:J1"/>
    <mergeCell ref="A3:J3"/>
    <mergeCell ref="A5:B5"/>
    <mergeCell ref="C5:E5"/>
    <mergeCell ref="G5:I5"/>
    <mergeCell ref="H480:I480"/>
    <mergeCell ref="H481:I481"/>
    <mergeCell ref="H482:I482"/>
    <mergeCell ref="A486:J486"/>
    <mergeCell ref="A6:B6"/>
    <mergeCell ref="C6:E6"/>
    <mergeCell ref="G6:I7"/>
    <mergeCell ref="J6:J7"/>
    <mergeCell ref="A9:B10"/>
    <mergeCell ref="G9:J10"/>
    <mergeCell ref="A12:J12"/>
    <mergeCell ref="C9:E10"/>
  </mergeCells>
  <printOptions horizontalCentered="1"/>
  <pageMargins left="0.23622047244094491" right="0.23622047244094491" top="0.74803149606299213" bottom="0.74803149606299213" header="0.31496062992125984" footer="0.31496062992125984"/>
  <pageSetup paperSize="9" scale="55" fitToWidth="0" fitToHeight="0" orientation="portrait" r:id="rId1"/>
  <rowBreaks count="2" manualBreakCount="2">
    <brk id="97" max="9" man="1"/>
    <brk id="40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39"/>
  <sheetViews>
    <sheetView view="pageBreakPreview" topLeftCell="D417" zoomScaleNormal="100" zoomScaleSheetLayoutView="100" workbookViewId="0">
      <selection activeCell="P14" sqref="P14"/>
    </sheetView>
  </sheetViews>
  <sheetFormatPr defaultColWidth="12.625" defaultRowHeight="15" customHeight="1"/>
  <cols>
    <col min="1" max="2" width="10" style="128" customWidth="1"/>
    <col min="3" max="3" width="11.25" style="128" customWidth="1"/>
    <col min="4" max="4" width="60" style="128" customWidth="1"/>
    <col min="5" max="5" width="8" style="128" customWidth="1"/>
    <col min="6" max="6" width="11.125" style="128" customWidth="1"/>
    <col min="7" max="7" width="13.75" style="128" bestFit="1" customWidth="1"/>
    <col min="8" max="8" width="8.375" style="128" customWidth="1"/>
    <col min="9" max="9" width="14" style="128" bestFit="1" customWidth="1"/>
    <col min="10" max="10" width="14.125" style="128" customWidth="1"/>
    <col min="11" max="11" width="11.25" style="128" customWidth="1"/>
    <col min="12" max="14" width="9" style="128" customWidth="1"/>
    <col min="15" max="15" width="14.625" style="128" customWidth="1"/>
    <col min="16" max="29" width="9" style="128" customWidth="1"/>
    <col min="30" max="16384" width="12.625" style="128"/>
  </cols>
  <sheetData>
    <row r="1" spans="1:43" s="119" customFormat="1" ht="100.5" customHeight="1">
      <c r="A1" s="503"/>
      <c r="B1" s="503"/>
      <c r="C1" s="503"/>
      <c r="D1" s="503"/>
      <c r="E1" s="503"/>
      <c r="F1" s="503"/>
      <c r="G1" s="503"/>
      <c r="H1" s="503"/>
      <c r="I1" s="503"/>
      <c r="J1" s="503"/>
      <c r="K1" s="503"/>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43" ht="6" customHeight="1">
      <c r="A2" s="120"/>
      <c r="B2" s="121"/>
      <c r="C2" s="121"/>
      <c r="D2" s="122"/>
      <c r="E2" s="123"/>
      <c r="F2" s="124"/>
      <c r="G2" s="125"/>
      <c r="H2" s="125"/>
      <c r="I2" s="126"/>
      <c r="J2" s="168"/>
      <c r="K2" s="130"/>
      <c r="L2" s="130"/>
      <c r="M2" s="130"/>
      <c r="N2" s="130"/>
      <c r="O2" s="130"/>
      <c r="P2" s="130"/>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row>
    <row r="3" spans="1:43" ht="20.25" customHeight="1">
      <c r="A3" s="501" t="str">
        <f>'ORÇAMENTO SINTÉTICO (NÃO DESON)'!A3</f>
        <v>PREFEITURA MUNICIPAL DE CABO FRIO</v>
      </c>
      <c r="B3" s="501"/>
      <c r="C3" s="501"/>
      <c r="D3" s="501"/>
      <c r="E3" s="501"/>
      <c r="F3" s="501"/>
      <c r="G3" s="501"/>
      <c r="H3" s="501"/>
      <c r="I3" s="501"/>
      <c r="J3" s="501"/>
      <c r="K3" s="501"/>
      <c r="L3" s="138"/>
      <c r="M3" s="138"/>
      <c r="N3" s="138"/>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row>
    <row r="4" spans="1:43" ht="6" customHeight="1">
      <c r="A4" s="120"/>
      <c r="B4" s="121"/>
      <c r="C4" s="121"/>
      <c r="D4" s="122"/>
      <c r="E4" s="123"/>
      <c r="F4" s="124"/>
      <c r="G4" s="125"/>
      <c r="H4" s="125"/>
      <c r="I4" s="126"/>
      <c r="J4" s="168"/>
      <c r="K4" s="130"/>
      <c r="L4" s="130"/>
      <c r="M4" s="130"/>
      <c r="N4" s="130"/>
      <c r="O4" s="130"/>
      <c r="P4" s="130"/>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row>
    <row r="5" spans="1:43" ht="18">
      <c r="A5" s="485" t="s">
        <v>913</v>
      </c>
      <c r="B5" s="485"/>
      <c r="C5" s="486" t="str">
        <f>'ORÇAMENTO SINTÉTICO (NÃO DESON)'!$C$5</f>
        <v>CONSTRUÇÃO DA CRECHE ESCOLA TAMOIOS</v>
      </c>
      <c r="D5" s="504"/>
      <c r="E5" s="504"/>
      <c r="F5" s="169"/>
      <c r="H5" s="506" t="s">
        <v>40</v>
      </c>
      <c r="I5" s="507"/>
      <c r="J5" s="488">
        <f>'CÁLCULO BDI (NÃO DESON)'!$B$14</f>
        <v>0.25</v>
      </c>
      <c r="K5" s="488"/>
      <c r="L5" s="170"/>
      <c r="M5" s="170"/>
      <c r="P5" s="170"/>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row>
    <row r="6" spans="1:43" ht="18" customHeight="1">
      <c r="A6" s="485" t="s">
        <v>914</v>
      </c>
      <c r="B6" s="485"/>
      <c r="C6" s="486" t="str">
        <f>'ORÇAMENTO SINTÉTICO (NÃO DESON)'!$C$6</f>
        <v>AV. INDEPENDÊNCIA, S/N, CONDOMÍNIO VERÃO VERMELHO, TAMOIOS</v>
      </c>
      <c r="D6" s="504"/>
      <c r="E6" s="504"/>
      <c r="F6" s="169"/>
      <c r="H6" s="508" t="s">
        <v>455</v>
      </c>
      <c r="I6" s="509"/>
      <c r="J6" s="488">
        <f>BDI!$B$13</f>
        <v>0.16800000000000001</v>
      </c>
      <c r="K6" s="488"/>
      <c r="L6" s="171"/>
      <c r="M6" s="171"/>
      <c r="P6" s="171"/>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row>
    <row r="7" spans="1:43" ht="27.75" customHeight="1">
      <c r="A7" s="120"/>
      <c r="B7" s="121"/>
      <c r="C7" s="121"/>
      <c r="D7" s="122"/>
      <c r="E7" s="123"/>
      <c r="F7" s="124"/>
      <c r="H7" s="510"/>
      <c r="I7" s="511"/>
      <c r="J7" s="488"/>
      <c r="K7" s="488"/>
      <c r="L7" s="172"/>
      <c r="M7" s="172"/>
      <c r="P7" s="172"/>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row>
    <row r="8" spans="1:43" ht="6" customHeight="1">
      <c r="A8" s="120"/>
      <c r="B8" s="121"/>
      <c r="C8" s="121"/>
      <c r="D8" s="122"/>
      <c r="E8" s="123"/>
      <c r="F8" s="124"/>
      <c r="G8" s="125"/>
      <c r="H8" s="125"/>
      <c r="I8" s="125"/>
      <c r="J8" s="126"/>
      <c r="K8" s="130"/>
      <c r="L8" s="130"/>
      <c r="M8" s="130"/>
      <c r="N8" s="130"/>
      <c r="O8" s="130"/>
      <c r="P8" s="130"/>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row>
    <row r="9" spans="1:43" ht="40.5" customHeight="1">
      <c r="A9" s="490" t="s">
        <v>490</v>
      </c>
      <c r="B9" s="490"/>
      <c r="C9" s="505" t="str">
        <f>'ORÇAMENTO SINTÉTICO (NÃO DESON)'!$C$9</f>
        <v>SINAPI - SETEMBRO/2023, EMOP - AGOSTO/2023</v>
      </c>
      <c r="D9" s="505"/>
      <c r="E9" s="505"/>
      <c r="F9" s="173"/>
      <c r="H9" s="491" t="str">
        <f>'ORÇAMENTO SINTÉTICO (NÃO DESON)'!$G$9</f>
        <v>Encargos Sociais Não Desonerado: embutido nos preços unitário dos insumos de mão de obra, de acordo com as bases.</v>
      </c>
      <c r="I9" s="491"/>
      <c r="J9" s="491"/>
      <c r="K9" s="491"/>
      <c r="L9" s="130"/>
      <c r="M9" s="130"/>
      <c r="N9" s="168"/>
      <c r="O9" s="168"/>
      <c r="P9" s="168"/>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row>
    <row r="10" spans="1:43" ht="15" customHeight="1">
      <c r="A10" s="490"/>
      <c r="B10" s="490"/>
      <c r="C10" s="505"/>
      <c r="D10" s="505"/>
      <c r="E10" s="505"/>
      <c r="F10" s="173"/>
      <c r="H10" s="491"/>
      <c r="I10" s="491"/>
      <c r="J10" s="491"/>
      <c r="K10" s="491"/>
      <c r="L10" s="168"/>
      <c r="M10" s="168"/>
      <c r="N10" s="168"/>
      <c r="O10" s="168"/>
      <c r="P10" s="168"/>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row>
    <row r="11" spans="1:43" ht="10.5" customHeight="1">
      <c r="A11" s="133"/>
      <c r="C11" s="134"/>
      <c r="D11" s="135"/>
      <c r="E11" s="129"/>
      <c r="F11" s="136"/>
      <c r="I11" s="137"/>
      <c r="J11" s="174"/>
      <c r="K11" s="138"/>
      <c r="L11" s="138"/>
      <c r="M11" s="138"/>
      <c r="N11" s="138"/>
      <c r="O11" s="138"/>
      <c r="P11" s="138"/>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row>
    <row r="12" spans="1:43" ht="20.25" customHeight="1">
      <c r="A12" s="501" t="s">
        <v>71</v>
      </c>
      <c r="B12" s="501"/>
      <c r="C12" s="501"/>
      <c r="D12" s="501"/>
      <c r="E12" s="501"/>
      <c r="F12" s="501"/>
      <c r="G12" s="501"/>
      <c r="H12" s="501"/>
      <c r="I12" s="501"/>
      <c r="J12" s="501"/>
      <c r="K12" s="501"/>
      <c r="L12" s="138"/>
      <c r="M12" s="138"/>
      <c r="N12" s="138"/>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row>
    <row r="13" spans="1:43" s="119" customFormat="1" ht="4.5" customHeight="1"/>
    <row r="14" spans="1:43" ht="30">
      <c r="A14" s="240" t="s">
        <v>41</v>
      </c>
      <c r="B14" s="240" t="s">
        <v>924</v>
      </c>
      <c r="C14" s="240" t="s">
        <v>925</v>
      </c>
      <c r="D14" s="240" t="s">
        <v>926</v>
      </c>
      <c r="E14" s="240" t="s">
        <v>927</v>
      </c>
      <c r="F14" s="240" t="s">
        <v>928</v>
      </c>
      <c r="G14" s="240" t="s">
        <v>929</v>
      </c>
      <c r="H14" s="240" t="s">
        <v>967</v>
      </c>
      <c r="I14" s="240" t="s">
        <v>930</v>
      </c>
      <c r="J14" s="240" t="s">
        <v>910</v>
      </c>
      <c r="K14" s="240" t="s">
        <v>964</v>
      </c>
    </row>
    <row r="15" spans="1:43" s="237" customFormat="1" ht="57">
      <c r="A15" s="422" t="s">
        <v>128</v>
      </c>
      <c r="B15" s="423" t="s">
        <v>2513</v>
      </c>
      <c r="C15" s="423" t="s">
        <v>1400</v>
      </c>
      <c r="D15" s="422" t="s">
        <v>2514</v>
      </c>
      <c r="E15" s="423" t="s">
        <v>1452</v>
      </c>
      <c r="F15" s="424">
        <v>15931.53</v>
      </c>
      <c r="G15" s="425">
        <v>44.88</v>
      </c>
      <c r="H15" s="424">
        <v>25</v>
      </c>
      <c r="I15" s="425">
        <v>56.1</v>
      </c>
      <c r="J15" s="425">
        <v>893758.83</v>
      </c>
      <c r="K15" s="421">
        <f t="shared" ref="K15:K78" si="0">J15/$J$436</f>
        <v>0.15058647321266733</v>
      </c>
    </row>
    <row r="16" spans="1:43" s="237" customFormat="1" ht="57">
      <c r="A16" s="422" t="s">
        <v>343</v>
      </c>
      <c r="B16" s="423" t="s">
        <v>227</v>
      </c>
      <c r="C16" s="423" t="s">
        <v>1396</v>
      </c>
      <c r="D16" s="422" t="s">
        <v>1477</v>
      </c>
      <c r="E16" s="423" t="s">
        <v>1462</v>
      </c>
      <c r="F16" s="424">
        <v>1276.9000000000001</v>
      </c>
      <c r="G16" s="425">
        <v>528.76</v>
      </c>
      <c r="H16" s="424">
        <v>16.8</v>
      </c>
      <c r="I16" s="425">
        <v>617.59</v>
      </c>
      <c r="J16" s="425">
        <v>788600.67</v>
      </c>
      <c r="K16" s="421">
        <f t="shared" si="0"/>
        <v>0.13286872216797738</v>
      </c>
    </row>
    <row r="17" spans="1:11" s="237" customFormat="1" ht="28.5">
      <c r="A17" s="422" t="s">
        <v>427</v>
      </c>
      <c r="B17" s="423" t="s">
        <v>1519</v>
      </c>
      <c r="C17" s="423" t="s">
        <v>1400</v>
      </c>
      <c r="D17" s="422" t="s">
        <v>1520</v>
      </c>
      <c r="E17" s="423" t="s">
        <v>1398</v>
      </c>
      <c r="F17" s="424">
        <v>1072.18</v>
      </c>
      <c r="G17" s="425">
        <v>202.87</v>
      </c>
      <c r="H17" s="424">
        <v>25</v>
      </c>
      <c r="I17" s="425">
        <v>253.59</v>
      </c>
      <c r="J17" s="425">
        <v>271894.13</v>
      </c>
      <c r="K17" s="421">
        <f t="shared" si="0"/>
        <v>4.5810543906935716E-2</v>
      </c>
    </row>
    <row r="18" spans="1:11" s="237" customFormat="1" ht="57">
      <c r="A18" s="422" t="s">
        <v>2505</v>
      </c>
      <c r="B18" s="423" t="s">
        <v>1599</v>
      </c>
      <c r="C18" s="423" t="s">
        <v>1400</v>
      </c>
      <c r="D18" s="422" t="s">
        <v>1600</v>
      </c>
      <c r="E18" s="423" t="s">
        <v>1398</v>
      </c>
      <c r="F18" s="424">
        <v>3535.21</v>
      </c>
      <c r="G18" s="425">
        <v>60.95</v>
      </c>
      <c r="H18" s="424">
        <v>25</v>
      </c>
      <c r="I18" s="425">
        <v>76.19</v>
      </c>
      <c r="J18" s="425">
        <v>269347.65000000002</v>
      </c>
      <c r="K18" s="421">
        <f t="shared" si="0"/>
        <v>4.5381495902669745E-2</v>
      </c>
    </row>
    <row r="19" spans="1:11" s="237" customFormat="1" ht="28.5">
      <c r="A19" s="422" t="s">
        <v>114</v>
      </c>
      <c r="B19" s="423" t="s">
        <v>119</v>
      </c>
      <c r="C19" s="423" t="s">
        <v>1396</v>
      </c>
      <c r="D19" s="422" t="s">
        <v>1478</v>
      </c>
      <c r="E19" s="423" t="s">
        <v>1462</v>
      </c>
      <c r="F19" s="424">
        <v>1276.9000000000001</v>
      </c>
      <c r="G19" s="425">
        <v>128.59</v>
      </c>
      <c r="H19" s="424">
        <v>25</v>
      </c>
      <c r="I19" s="425">
        <v>160.74</v>
      </c>
      <c r="J19" s="425">
        <v>205248.91</v>
      </c>
      <c r="K19" s="421">
        <f t="shared" si="0"/>
        <v>3.4581710915957242E-2</v>
      </c>
    </row>
    <row r="20" spans="1:11" s="237" customFormat="1" ht="14.25">
      <c r="A20" s="422" t="s">
        <v>1073</v>
      </c>
      <c r="B20" s="423" t="s">
        <v>1335</v>
      </c>
      <c r="C20" s="423" t="s">
        <v>1396</v>
      </c>
      <c r="D20" s="422" t="s">
        <v>1336</v>
      </c>
      <c r="E20" s="423" t="s">
        <v>1403</v>
      </c>
      <c r="F20" s="424">
        <v>1</v>
      </c>
      <c r="G20" s="425">
        <v>156932.70000000001</v>
      </c>
      <c r="H20" s="424">
        <v>25</v>
      </c>
      <c r="I20" s="425">
        <v>196165.88</v>
      </c>
      <c r="J20" s="425">
        <v>196165.88</v>
      </c>
      <c r="K20" s="421">
        <f t="shared" si="0"/>
        <v>3.3051341192186397E-2</v>
      </c>
    </row>
    <row r="21" spans="1:11" s="237" customFormat="1" ht="28.5">
      <c r="A21" s="422" t="s">
        <v>1328</v>
      </c>
      <c r="B21" s="423" t="s">
        <v>1450</v>
      </c>
      <c r="C21" s="423" t="s">
        <v>1400</v>
      </c>
      <c r="D21" s="422" t="s">
        <v>1451</v>
      </c>
      <c r="E21" s="423" t="s">
        <v>1452</v>
      </c>
      <c r="F21" s="424">
        <v>8800.52</v>
      </c>
      <c r="G21" s="425">
        <v>14</v>
      </c>
      <c r="H21" s="424">
        <v>25</v>
      </c>
      <c r="I21" s="425">
        <v>17.5</v>
      </c>
      <c r="J21" s="425">
        <v>154009.1</v>
      </c>
      <c r="K21" s="421">
        <f t="shared" si="0"/>
        <v>2.594848457235047E-2</v>
      </c>
    </row>
    <row r="22" spans="1:11" s="237" customFormat="1" ht="57">
      <c r="A22" s="422" t="s">
        <v>900</v>
      </c>
      <c r="B22" s="423" t="s">
        <v>2507</v>
      </c>
      <c r="C22" s="423" t="s">
        <v>1400</v>
      </c>
      <c r="D22" s="422" t="s">
        <v>2515</v>
      </c>
      <c r="E22" s="423" t="s">
        <v>1398</v>
      </c>
      <c r="F22" s="424">
        <v>3535.21</v>
      </c>
      <c r="G22" s="425">
        <v>31.26</v>
      </c>
      <c r="H22" s="424">
        <v>25</v>
      </c>
      <c r="I22" s="425">
        <v>39.08</v>
      </c>
      <c r="J22" s="425">
        <v>138156.01</v>
      </c>
      <c r="K22" s="421">
        <f t="shared" si="0"/>
        <v>2.3277449800450087E-2</v>
      </c>
    </row>
    <row r="23" spans="1:11" s="237" customFormat="1" ht="28.5">
      <c r="A23" s="422" t="s">
        <v>1148</v>
      </c>
      <c r="B23" s="423" t="s">
        <v>1063</v>
      </c>
      <c r="C23" s="423" t="s">
        <v>1396</v>
      </c>
      <c r="D23" s="422" t="s">
        <v>1597</v>
      </c>
      <c r="E23" s="423" t="s">
        <v>1398</v>
      </c>
      <c r="F23" s="424">
        <v>139.41999999999999</v>
      </c>
      <c r="G23" s="425">
        <v>742.83</v>
      </c>
      <c r="H23" s="424">
        <v>25</v>
      </c>
      <c r="I23" s="425">
        <v>928.54</v>
      </c>
      <c r="J23" s="425">
        <v>129457.05</v>
      </c>
      <c r="K23" s="421">
        <f t="shared" si="0"/>
        <v>2.1811790762409519E-2</v>
      </c>
    </row>
    <row r="24" spans="1:11" s="237" customFormat="1" ht="114">
      <c r="A24" s="422" t="s">
        <v>428</v>
      </c>
      <c r="B24" s="423" t="s">
        <v>1521</v>
      </c>
      <c r="C24" s="423" t="s">
        <v>1099</v>
      </c>
      <c r="D24" s="422" t="s">
        <v>1129</v>
      </c>
      <c r="E24" s="423" t="s">
        <v>1398</v>
      </c>
      <c r="F24" s="424">
        <v>83.37</v>
      </c>
      <c r="G24" s="425">
        <v>1050</v>
      </c>
      <c r="H24" s="424">
        <v>25</v>
      </c>
      <c r="I24" s="425">
        <v>1312.5</v>
      </c>
      <c r="J24" s="425">
        <v>109423.13</v>
      </c>
      <c r="K24" s="421">
        <f t="shared" si="0"/>
        <v>1.843634175294382E-2</v>
      </c>
    </row>
    <row r="25" spans="1:11" s="237" customFormat="1" ht="42.75">
      <c r="A25" s="422" t="s">
        <v>432</v>
      </c>
      <c r="B25" s="423" t="s">
        <v>1525</v>
      </c>
      <c r="C25" s="423" t="s">
        <v>1400</v>
      </c>
      <c r="D25" s="422" t="s">
        <v>1526</v>
      </c>
      <c r="E25" s="423" t="s">
        <v>1398</v>
      </c>
      <c r="F25" s="424">
        <v>924.4</v>
      </c>
      <c r="G25" s="425">
        <v>88.25</v>
      </c>
      <c r="H25" s="424">
        <v>25</v>
      </c>
      <c r="I25" s="425">
        <v>110.31</v>
      </c>
      <c r="J25" s="425">
        <v>101970.56</v>
      </c>
      <c r="K25" s="421">
        <f t="shared" si="0"/>
        <v>1.7180682849220846E-2</v>
      </c>
    </row>
    <row r="26" spans="1:11" s="237" customFormat="1" ht="14.25">
      <c r="A26" s="422" t="s">
        <v>263</v>
      </c>
      <c r="B26" s="423" t="s">
        <v>1399</v>
      </c>
      <c r="C26" s="423" t="s">
        <v>1400</v>
      </c>
      <c r="D26" s="422" t="s">
        <v>1401</v>
      </c>
      <c r="E26" s="423" t="s">
        <v>1398</v>
      </c>
      <c r="F26" s="424">
        <v>436.41</v>
      </c>
      <c r="G26" s="425">
        <v>151.08000000000001</v>
      </c>
      <c r="H26" s="424">
        <v>25</v>
      </c>
      <c r="I26" s="425">
        <v>188.85</v>
      </c>
      <c r="J26" s="425">
        <v>82416.03</v>
      </c>
      <c r="K26" s="421">
        <f t="shared" si="0"/>
        <v>1.3886004677446809E-2</v>
      </c>
    </row>
    <row r="27" spans="1:11" s="237" customFormat="1" ht="42.75">
      <c r="A27" s="422" t="s">
        <v>316</v>
      </c>
      <c r="B27" s="423" t="s">
        <v>1440</v>
      </c>
      <c r="C27" s="423" t="s">
        <v>1400</v>
      </c>
      <c r="D27" s="422" t="s">
        <v>1441</v>
      </c>
      <c r="E27" s="423" t="s">
        <v>1422</v>
      </c>
      <c r="F27" s="424">
        <v>119.69</v>
      </c>
      <c r="G27" s="425">
        <v>549.41</v>
      </c>
      <c r="H27" s="424">
        <v>25</v>
      </c>
      <c r="I27" s="425">
        <v>686.76</v>
      </c>
      <c r="J27" s="425">
        <v>82198.3</v>
      </c>
      <c r="K27" s="421">
        <f t="shared" si="0"/>
        <v>1.3849320068901355E-2</v>
      </c>
    </row>
    <row r="28" spans="1:11" s="237" customFormat="1" ht="28.5">
      <c r="A28" s="422" t="s">
        <v>1343</v>
      </c>
      <c r="B28" s="423" t="s">
        <v>1713</v>
      </c>
      <c r="C28" s="423" t="s">
        <v>1099</v>
      </c>
      <c r="D28" s="422" t="s">
        <v>1137</v>
      </c>
      <c r="E28" s="423" t="s">
        <v>1403</v>
      </c>
      <c r="F28" s="424">
        <v>1</v>
      </c>
      <c r="G28" s="425">
        <v>60770</v>
      </c>
      <c r="H28" s="424">
        <v>25</v>
      </c>
      <c r="I28" s="425">
        <v>75962.5</v>
      </c>
      <c r="J28" s="425">
        <v>75962.5</v>
      </c>
      <c r="K28" s="421">
        <f t="shared" si="0"/>
        <v>1.2798670723529795E-2</v>
      </c>
    </row>
    <row r="29" spans="1:11" s="237" customFormat="1" ht="42.75">
      <c r="A29" s="422" t="s">
        <v>420</v>
      </c>
      <c r="B29" s="423" t="s">
        <v>1584</v>
      </c>
      <c r="C29" s="423" t="s">
        <v>1400</v>
      </c>
      <c r="D29" s="422" t="s">
        <v>1585</v>
      </c>
      <c r="E29" s="423" t="s">
        <v>1398</v>
      </c>
      <c r="F29" s="424">
        <v>67.900000000000006</v>
      </c>
      <c r="G29" s="425">
        <v>794.4</v>
      </c>
      <c r="H29" s="424">
        <v>25</v>
      </c>
      <c r="I29" s="425">
        <v>993</v>
      </c>
      <c r="J29" s="425">
        <v>67424.7</v>
      </c>
      <c r="K29" s="421">
        <f t="shared" si="0"/>
        <v>1.1360165001583404E-2</v>
      </c>
    </row>
    <row r="30" spans="1:11" s="237" customFormat="1" ht="28.5">
      <c r="A30" s="422" t="s">
        <v>369</v>
      </c>
      <c r="B30" s="423" t="s">
        <v>1539</v>
      </c>
      <c r="C30" s="423" t="s">
        <v>1400</v>
      </c>
      <c r="D30" s="422" t="s">
        <v>1540</v>
      </c>
      <c r="E30" s="423" t="s">
        <v>1398</v>
      </c>
      <c r="F30" s="424">
        <v>242.36</v>
      </c>
      <c r="G30" s="425">
        <v>222.33</v>
      </c>
      <c r="H30" s="424">
        <v>25</v>
      </c>
      <c r="I30" s="425">
        <v>277.91000000000003</v>
      </c>
      <c r="J30" s="425">
        <v>67354.27</v>
      </c>
      <c r="K30" s="421">
        <f t="shared" si="0"/>
        <v>1.1348298483511222E-2</v>
      </c>
    </row>
    <row r="31" spans="1:11" s="237" customFormat="1" ht="14.25">
      <c r="A31" s="422" t="s">
        <v>889</v>
      </c>
      <c r="B31" s="423" t="s">
        <v>2057</v>
      </c>
      <c r="C31" s="423" t="s">
        <v>1400</v>
      </c>
      <c r="D31" s="422" t="s">
        <v>2058</v>
      </c>
      <c r="E31" s="423" t="s">
        <v>2054</v>
      </c>
      <c r="F31" s="424">
        <v>1500</v>
      </c>
      <c r="G31" s="425">
        <v>35.65</v>
      </c>
      <c r="H31" s="424">
        <v>25</v>
      </c>
      <c r="I31" s="425">
        <v>44.56</v>
      </c>
      <c r="J31" s="425">
        <v>66840</v>
      </c>
      <c r="K31" s="421">
        <f t="shared" si="0"/>
        <v>1.1261650829826974E-2</v>
      </c>
    </row>
    <row r="32" spans="1:11" s="237" customFormat="1" ht="14.25">
      <c r="A32" s="422" t="s">
        <v>193</v>
      </c>
      <c r="B32" s="423" t="s">
        <v>1058</v>
      </c>
      <c r="C32" s="423" t="s">
        <v>1396</v>
      </c>
      <c r="D32" s="422" t="s">
        <v>387</v>
      </c>
      <c r="E32" s="423" t="s">
        <v>1398</v>
      </c>
      <c r="F32" s="424">
        <v>56.35</v>
      </c>
      <c r="G32" s="425">
        <v>908.8</v>
      </c>
      <c r="H32" s="424">
        <v>25</v>
      </c>
      <c r="I32" s="425">
        <v>1136</v>
      </c>
      <c r="J32" s="425">
        <v>64013.599999999999</v>
      </c>
      <c r="K32" s="421">
        <f t="shared" si="0"/>
        <v>1.078544002932693E-2</v>
      </c>
    </row>
    <row r="33" spans="1:11" s="237" customFormat="1" ht="28.5">
      <c r="A33" s="422" t="s">
        <v>254</v>
      </c>
      <c r="B33" s="423" t="s">
        <v>2052</v>
      </c>
      <c r="C33" s="423" t="s">
        <v>1400</v>
      </c>
      <c r="D33" s="422" t="s">
        <v>2053</v>
      </c>
      <c r="E33" s="423" t="s">
        <v>2054</v>
      </c>
      <c r="F33" s="424">
        <v>400</v>
      </c>
      <c r="G33" s="425">
        <v>118.99</v>
      </c>
      <c r="H33" s="424">
        <v>25</v>
      </c>
      <c r="I33" s="425">
        <v>148.74</v>
      </c>
      <c r="J33" s="425">
        <v>59496</v>
      </c>
      <c r="K33" s="421">
        <f t="shared" si="0"/>
        <v>1.0024284526801102E-2</v>
      </c>
    </row>
    <row r="34" spans="1:11" s="237" customFormat="1" ht="42.75">
      <c r="A34" s="422" t="s">
        <v>344</v>
      </c>
      <c r="B34" s="423" t="s">
        <v>1479</v>
      </c>
      <c r="C34" s="423" t="s">
        <v>1400</v>
      </c>
      <c r="D34" s="422" t="s">
        <v>1480</v>
      </c>
      <c r="E34" s="423" t="s">
        <v>1422</v>
      </c>
      <c r="F34" s="424">
        <v>102.15</v>
      </c>
      <c r="G34" s="425">
        <v>464.49</v>
      </c>
      <c r="H34" s="424">
        <v>25</v>
      </c>
      <c r="I34" s="425">
        <v>580.61</v>
      </c>
      <c r="J34" s="425">
        <v>59309.31</v>
      </c>
      <c r="K34" s="421">
        <f t="shared" si="0"/>
        <v>9.9928297453316158E-3</v>
      </c>
    </row>
    <row r="35" spans="1:11" s="237" customFormat="1" ht="28.5">
      <c r="A35" s="422" t="s">
        <v>401</v>
      </c>
      <c r="B35" s="423" t="s">
        <v>1544</v>
      </c>
      <c r="C35" s="423" t="s">
        <v>1400</v>
      </c>
      <c r="D35" s="422" t="s">
        <v>1545</v>
      </c>
      <c r="E35" s="423" t="s">
        <v>1416</v>
      </c>
      <c r="F35" s="424">
        <v>221.25</v>
      </c>
      <c r="G35" s="425">
        <v>190.49</v>
      </c>
      <c r="H35" s="424">
        <v>25</v>
      </c>
      <c r="I35" s="425">
        <v>238.11</v>
      </c>
      <c r="J35" s="425">
        <v>52681.84</v>
      </c>
      <c r="K35" s="421">
        <f t="shared" si="0"/>
        <v>8.8761892153323141E-3</v>
      </c>
    </row>
    <row r="36" spans="1:11" s="237" customFormat="1" ht="57">
      <c r="A36" s="422" t="s">
        <v>1376</v>
      </c>
      <c r="B36" s="423" t="s">
        <v>1956</v>
      </c>
      <c r="C36" s="423" t="s">
        <v>1400</v>
      </c>
      <c r="D36" s="422" t="s">
        <v>1957</v>
      </c>
      <c r="E36" s="423" t="s">
        <v>1416</v>
      </c>
      <c r="F36" s="424">
        <v>178.06</v>
      </c>
      <c r="G36" s="425">
        <v>228.49</v>
      </c>
      <c r="H36" s="424">
        <v>25</v>
      </c>
      <c r="I36" s="425">
        <v>285.61</v>
      </c>
      <c r="J36" s="425">
        <v>50855.72</v>
      </c>
      <c r="K36" s="421">
        <f t="shared" si="0"/>
        <v>8.5685122881425536E-3</v>
      </c>
    </row>
    <row r="37" spans="1:11" s="237" customFormat="1" ht="28.5">
      <c r="A37" s="422" t="s">
        <v>347</v>
      </c>
      <c r="B37" s="423" t="s">
        <v>1484</v>
      </c>
      <c r="C37" s="423" t="s">
        <v>1400</v>
      </c>
      <c r="D37" s="422" t="s">
        <v>1485</v>
      </c>
      <c r="E37" s="423" t="s">
        <v>1422</v>
      </c>
      <c r="F37" s="424">
        <v>102.66</v>
      </c>
      <c r="G37" s="425">
        <v>379.73</v>
      </c>
      <c r="H37" s="424">
        <v>25</v>
      </c>
      <c r="I37" s="425">
        <v>474.66</v>
      </c>
      <c r="J37" s="425">
        <v>48728.6</v>
      </c>
      <c r="K37" s="421">
        <f t="shared" si="0"/>
        <v>8.2101208651452224E-3</v>
      </c>
    </row>
    <row r="38" spans="1:11" s="237" customFormat="1" ht="57">
      <c r="A38" s="422" t="s">
        <v>1372</v>
      </c>
      <c r="B38" s="423" t="s">
        <v>981</v>
      </c>
      <c r="C38" s="423" t="s">
        <v>1099</v>
      </c>
      <c r="D38" s="422" t="s">
        <v>1893</v>
      </c>
      <c r="E38" s="423" t="s">
        <v>1403</v>
      </c>
      <c r="F38" s="424">
        <v>1</v>
      </c>
      <c r="G38" s="425">
        <v>38757.89</v>
      </c>
      <c r="H38" s="424">
        <v>25</v>
      </c>
      <c r="I38" s="425">
        <v>48447.360000000001</v>
      </c>
      <c r="J38" s="425">
        <v>48447.360000000001</v>
      </c>
      <c r="K38" s="421">
        <f t="shared" si="0"/>
        <v>8.1627356664710684E-3</v>
      </c>
    </row>
    <row r="39" spans="1:11" s="237" customFormat="1" ht="42.75">
      <c r="A39" s="422" t="s">
        <v>483</v>
      </c>
      <c r="B39" s="423" t="s">
        <v>1559</v>
      </c>
      <c r="C39" s="423" t="s">
        <v>1400</v>
      </c>
      <c r="D39" s="422" t="s">
        <v>1560</v>
      </c>
      <c r="E39" s="423" t="s">
        <v>1398</v>
      </c>
      <c r="F39" s="424">
        <v>541.53</v>
      </c>
      <c r="G39" s="425">
        <v>71.14</v>
      </c>
      <c r="H39" s="424">
        <v>25</v>
      </c>
      <c r="I39" s="425">
        <v>88.93</v>
      </c>
      <c r="J39" s="425">
        <v>48158.26</v>
      </c>
      <c r="K39" s="421">
        <f t="shared" si="0"/>
        <v>8.114026162358217E-3</v>
      </c>
    </row>
    <row r="40" spans="1:11" s="237" customFormat="1" ht="14.25">
      <c r="A40" s="422" t="s">
        <v>255</v>
      </c>
      <c r="B40" s="423" t="s">
        <v>2055</v>
      </c>
      <c r="C40" s="423" t="s">
        <v>1400</v>
      </c>
      <c r="D40" s="422" t="s">
        <v>2056</v>
      </c>
      <c r="E40" s="423" t="s">
        <v>2054</v>
      </c>
      <c r="F40" s="424">
        <v>800</v>
      </c>
      <c r="G40" s="425">
        <v>46.42</v>
      </c>
      <c r="H40" s="424">
        <v>25</v>
      </c>
      <c r="I40" s="425">
        <v>58.03</v>
      </c>
      <c r="J40" s="425">
        <v>46424</v>
      </c>
      <c r="K40" s="421">
        <f t="shared" si="0"/>
        <v>7.821826423158101E-3</v>
      </c>
    </row>
    <row r="41" spans="1:11" s="237" customFormat="1" ht="42.75">
      <c r="A41" s="422" t="s">
        <v>437</v>
      </c>
      <c r="B41" s="423" t="s">
        <v>1595</v>
      </c>
      <c r="C41" s="423" t="s">
        <v>1400</v>
      </c>
      <c r="D41" s="422" t="s">
        <v>1596</v>
      </c>
      <c r="E41" s="423" t="s">
        <v>1398</v>
      </c>
      <c r="F41" s="424">
        <v>72.59</v>
      </c>
      <c r="G41" s="425">
        <v>489.49</v>
      </c>
      <c r="H41" s="424">
        <v>25</v>
      </c>
      <c r="I41" s="425">
        <v>611.86</v>
      </c>
      <c r="J41" s="425">
        <v>44414.92</v>
      </c>
      <c r="K41" s="421">
        <f t="shared" si="0"/>
        <v>7.4833231698787951E-3</v>
      </c>
    </row>
    <row r="42" spans="1:11" s="237" customFormat="1" ht="28.5">
      <c r="A42" s="422" t="s">
        <v>890</v>
      </c>
      <c r="B42" s="423" t="s">
        <v>2059</v>
      </c>
      <c r="C42" s="423" t="s">
        <v>1400</v>
      </c>
      <c r="D42" s="422" t="s">
        <v>948</v>
      </c>
      <c r="E42" s="423" t="s">
        <v>2054</v>
      </c>
      <c r="F42" s="424">
        <v>800</v>
      </c>
      <c r="G42" s="425">
        <v>44.41</v>
      </c>
      <c r="H42" s="424">
        <v>25</v>
      </c>
      <c r="I42" s="425">
        <v>55.51</v>
      </c>
      <c r="J42" s="425">
        <v>44408</v>
      </c>
      <c r="K42" s="421">
        <f t="shared" si="0"/>
        <v>7.4821572419353118E-3</v>
      </c>
    </row>
    <row r="43" spans="1:11" s="237" customFormat="1" ht="42.75">
      <c r="A43" s="422" t="s">
        <v>891</v>
      </c>
      <c r="B43" s="423" t="s">
        <v>1265</v>
      </c>
      <c r="C43" s="423" t="s">
        <v>1099</v>
      </c>
      <c r="D43" s="422" t="s">
        <v>1134</v>
      </c>
      <c r="E43" s="423" t="s">
        <v>2060</v>
      </c>
      <c r="F43" s="424">
        <v>5</v>
      </c>
      <c r="G43" s="425">
        <v>6380.26</v>
      </c>
      <c r="H43" s="424">
        <v>25</v>
      </c>
      <c r="I43" s="425">
        <v>7975.33</v>
      </c>
      <c r="J43" s="425">
        <v>39876.65</v>
      </c>
      <c r="K43" s="421">
        <f t="shared" si="0"/>
        <v>6.7186850473252516E-3</v>
      </c>
    </row>
    <row r="44" spans="1:11" s="237" customFormat="1" ht="57">
      <c r="A44" s="422" t="s">
        <v>438</v>
      </c>
      <c r="B44" s="423" t="s">
        <v>1599</v>
      </c>
      <c r="C44" s="423" t="s">
        <v>1400</v>
      </c>
      <c r="D44" s="422" t="s">
        <v>1600</v>
      </c>
      <c r="E44" s="423" t="s">
        <v>1398</v>
      </c>
      <c r="F44" s="424">
        <v>514.22</v>
      </c>
      <c r="G44" s="425">
        <v>60.95</v>
      </c>
      <c r="H44" s="424">
        <v>25</v>
      </c>
      <c r="I44" s="425">
        <v>76.19</v>
      </c>
      <c r="J44" s="425">
        <v>39178.42</v>
      </c>
      <c r="K44" s="421">
        <f t="shared" si="0"/>
        <v>6.6010425808544241E-3</v>
      </c>
    </row>
    <row r="45" spans="1:11" s="237" customFormat="1" ht="42.75">
      <c r="A45" s="422" t="s">
        <v>367</v>
      </c>
      <c r="B45" s="423" t="s">
        <v>1535</v>
      </c>
      <c r="C45" s="423" t="s">
        <v>1400</v>
      </c>
      <c r="D45" s="422" t="s">
        <v>1536</v>
      </c>
      <c r="E45" s="423" t="s">
        <v>1398</v>
      </c>
      <c r="F45" s="424">
        <v>206.9</v>
      </c>
      <c r="G45" s="425">
        <v>149.16999999999999</v>
      </c>
      <c r="H45" s="424">
        <v>25</v>
      </c>
      <c r="I45" s="425">
        <v>186.46</v>
      </c>
      <c r="J45" s="425">
        <v>38578.57</v>
      </c>
      <c r="K45" s="421">
        <f t="shared" si="0"/>
        <v>6.4999758356379111E-3</v>
      </c>
    </row>
    <row r="46" spans="1:11" s="237" customFormat="1" ht="57">
      <c r="A46" s="422" t="s">
        <v>663</v>
      </c>
      <c r="B46" s="423" t="s">
        <v>1784</v>
      </c>
      <c r="C46" s="423" t="s">
        <v>1400</v>
      </c>
      <c r="D46" s="422" t="s">
        <v>1785</v>
      </c>
      <c r="E46" s="423" t="s">
        <v>1403</v>
      </c>
      <c r="F46" s="424">
        <v>2</v>
      </c>
      <c r="G46" s="425">
        <v>15357.61</v>
      </c>
      <c r="H46" s="424">
        <v>25</v>
      </c>
      <c r="I46" s="425">
        <v>19197.009999999998</v>
      </c>
      <c r="J46" s="425">
        <v>38394.019999999997</v>
      </c>
      <c r="K46" s="421">
        <f t="shared" si="0"/>
        <v>6.4688816157000804E-3</v>
      </c>
    </row>
    <row r="47" spans="1:11" s="237" customFormat="1" ht="57">
      <c r="A47" s="422" t="s">
        <v>885</v>
      </c>
      <c r="B47" s="423" t="s">
        <v>1506</v>
      </c>
      <c r="C47" s="423" t="s">
        <v>1400</v>
      </c>
      <c r="D47" s="422" t="s">
        <v>1507</v>
      </c>
      <c r="E47" s="423" t="s">
        <v>1398</v>
      </c>
      <c r="F47" s="424">
        <v>609.99</v>
      </c>
      <c r="G47" s="425">
        <v>49.95</v>
      </c>
      <c r="H47" s="424">
        <v>25</v>
      </c>
      <c r="I47" s="425">
        <v>62.44</v>
      </c>
      <c r="J47" s="425">
        <v>38087.78</v>
      </c>
      <c r="K47" s="421">
        <f t="shared" si="0"/>
        <v>6.4172842496000478E-3</v>
      </c>
    </row>
    <row r="48" spans="1:11" s="237" customFormat="1" ht="28.5">
      <c r="A48" s="422" t="s">
        <v>851</v>
      </c>
      <c r="B48" s="423" t="s">
        <v>2008</v>
      </c>
      <c r="C48" s="423" t="s">
        <v>1400</v>
      </c>
      <c r="D48" s="422" t="s">
        <v>2009</v>
      </c>
      <c r="E48" s="423" t="s">
        <v>1416</v>
      </c>
      <c r="F48" s="424">
        <v>317.3</v>
      </c>
      <c r="G48" s="425">
        <v>89.91</v>
      </c>
      <c r="H48" s="424">
        <v>25</v>
      </c>
      <c r="I48" s="425">
        <v>112.39</v>
      </c>
      <c r="J48" s="425">
        <v>35661.35</v>
      </c>
      <c r="K48" s="421">
        <f t="shared" si="0"/>
        <v>6.008463073313138E-3</v>
      </c>
    </row>
    <row r="49" spans="1:11" s="237" customFormat="1" ht="42.75">
      <c r="A49" s="422" t="s">
        <v>268</v>
      </c>
      <c r="B49" s="423" t="s">
        <v>1409</v>
      </c>
      <c r="C49" s="423" t="s">
        <v>1400</v>
      </c>
      <c r="D49" s="422" t="s">
        <v>1410</v>
      </c>
      <c r="E49" s="423" t="s">
        <v>1398</v>
      </c>
      <c r="F49" s="424">
        <v>20</v>
      </c>
      <c r="G49" s="425">
        <v>1390.49</v>
      </c>
      <c r="H49" s="424">
        <v>25</v>
      </c>
      <c r="I49" s="425">
        <v>1738.11</v>
      </c>
      <c r="J49" s="425">
        <v>34762.199999999997</v>
      </c>
      <c r="K49" s="421">
        <f t="shared" si="0"/>
        <v>5.8569682596740155E-3</v>
      </c>
    </row>
    <row r="50" spans="1:11" s="237" customFormat="1" ht="28.5">
      <c r="A50" s="422" t="s">
        <v>441</v>
      </c>
      <c r="B50" s="423" t="s">
        <v>1022</v>
      </c>
      <c r="C50" s="423" t="s">
        <v>1396</v>
      </c>
      <c r="D50" s="422" t="s">
        <v>458</v>
      </c>
      <c r="E50" s="423" t="s">
        <v>1398</v>
      </c>
      <c r="F50" s="424">
        <v>337.79</v>
      </c>
      <c r="G50" s="425">
        <v>74.05</v>
      </c>
      <c r="H50" s="424">
        <v>25</v>
      </c>
      <c r="I50" s="425">
        <v>92.56</v>
      </c>
      <c r="J50" s="425">
        <v>31265.84</v>
      </c>
      <c r="K50" s="421">
        <f t="shared" si="0"/>
        <v>5.2678781116283274E-3</v>
      </c>
    </row>
    <row r="51" spans="1:11" s="237" customFormat="1" ht="42.75">
      <c r="A51" s="422" t="s">
        <v>467</v>
      </c>
      <c r="B51" s="423" t="s">
        <v>1501</v>
      </c>
      <c r="C51" s="423" t="s">
        <v>1400</v>
      </c>
      <c r="D51" s="422" t="s">
        <v>1502</v>
      </c>
      <c r="E51" s="423" t="s">
        <v>1398</v>
      </c>
      <c r="F51" s="424">
        <v>108.09</v>
      </c>
      <c r="G51" s="425">
        <v>227.37</v>
      </c>
      <c r="H51" s="424">
        <v>25</v>
      </c>
      <c r="I51" s="425">
        <v>284.20999999999998</v>
      </c>
      <c r="J51" s="425">
        <v>30720.26</v>
      </c>
      <c r="K51" s="421">
        <f t="shared" si="0"/>
        <v>5.1759551394599101E-3</v>
      </c>
    </row>
    <row r="52" spans="1:11" s="237" customFormat="1" ht="42.75">
      <c r="A52" s="422" t="s">
        <v>267</v>
      </c>
      <c r="B52" s="423" t="s">
        <v>1407</v>
      </c>
      <c r="C52" s="423" t="s">
        <v>1400</v>
      </c>
      <c r="D52" s="422" t="s">
        <v>1408</v>
      </c>
      <c r="E52" s="423" t="s">
        <v>1398</v>
      </c>
      <c r="F52" s="424">
        <v>20</v>
      </c>
      <c r="G52" s="425">
        <v>1201.45</v>
      </c>
      <c r="H52" s="424">
        <v>25</v>
      </c>
      <c r="I52" s="425">
        <v>1501.81</v>
      </c>
      <c r="J52" s="425">
        <v>30036.2</v>
      </c>
      <c r="K52" s="421">
        <f t="shared" si="0"/>
        <v>5.0607001294860707E-3</v>
      </c>
    </row>
    <row r="53" spans="1:11" s="237" customFormat="1" ht="71.25">
      <c r="A53" s="422" t="s">
        <v>366</v>
      </c>
      <c r="B53" s="423" t="s">
        <v>1533</v>
      </c>
      <c r="C53" s="423" t="s">
        <v>1400</v>
      </c>
      <c r="D53" s="422" t="s">
        <v>1534</v>
      </c>
      <c r="E53" s="423" t="s">
        <v>1398</v>
      </c>
      <c r="F53" s="424">
        <v>449.26</v>
      </c>
      <c r="G53" s="425">
        <v>50.79</v>
      </c>
      <c r="H53" s="424">
        <v>25</v>
      </c>
      <c r="I53" s="425">
        <v>63.49</v>
      </c>
      <c r="J53" s="425">
        <v>28523.52</v>
      </c>
      <c r="K53" s="421">
        <f t="shared" si="0"/>
        <v>4.8058336726149956E-3</v>
      </c>
    </row>
    <row r="54" spans="1:11" s="237" customFormat="1" ht="42.75">
      <c r="A54" s="422" t="s">
        <v>269</v>
      </c>
      <c r="B54" s="423" t="s">
        <v>1411</v>
      </c>
      <c r="C54" s="423" t="s">
        <v>1400</v>
      </c>
      <c r="D54" s="422" t="s">
        <v>1412</v>
      </c>
      <c r="E54" s="423" t="s">
        <v>1398</v>
      </c>
      <c r="F54" s="424">
        <v>20</v>
      </c>
      <c r="G54" s="425">
        <v>1122.6400000000001</v>
      </c>
      <c r="H54" s="424">
        <v>25</v>
      </c>
      <c r="I54" s="425">
        <v>1403.3</v>
      </c>
      <c r="J54" s="425">
        <v>28066</v>
      </c>
      <c r="K54" s="421">
        <f t="shared" si="0"/>
        <v>4.7287476389874907E-3</v>
      </c>
    </row>
    <row r="55" spans="1:11" s="237" customFormat="1" ht="42.75">
      <c r="A55" s="422" t="s">
        <v>872</v>
      </c>
      <c r="B55" s="423" t="s">
        <v>2037</v>
      </c>
      <c r="C55" s="423" t="s">
        <v>1400</v>
      </c>
      <c r="D55" s="422" t="s">
        <v>2038</v>
      </c>
      <c r="E55" s="423" t="s">
        <v>1398</v>
      </c>
      <c r="F55" s="424">
        <v>138</v>
      </c>
      <c r="G55" s="425">
        <v>157.38999999999999</v>
      </c>
      <c r="H55" s="424">
        <v>25</v>
      </c>
      <c r="I55" s="425">
        <v>196.74</v>
      </c>
      <c r="J55" s="425">
        <v>27150.12</v>
      </c>
      <c r="K55" s="421">
        <f t="shared" si="0"/>
        <v>4.574434042906971E-3</v>
      </c>
    </row>
    <row r="56" spans="1:11" s="237" customFormat="1" ht="42.75">
      <c r="A56" s="422" t="s">
        <v>368</v>
      </c>
      <c r="B56" s="423" t="s">
        <v>1537</v>
      </c>
      <c r="C56" s="423" t="s">
        <v>1400</v>
      </c>
      <c r="D56" s="422" t="s">
        <v>1538</v>
      </c>
      <c r="E56" s="423" t="s">
        <v>1398</v>
      </c>
      <c r="F56" s="424">
        <v>451.3</v>
      </c>
      <c r="G56" s="425">
        <v>45.24</v>
      </c>
      <c r="H56" s="424">
        <v>25</v>
      </c>
      <c r="I56" s="425">
        <v>56.55</v>
      </c>
      <c r="J56" s="425">
        <v>25521.02</v>
      </c>
      <c r="K56" s="421">
        <f t="shared" si="0"/>
        <v>4.2999523647670674E-3</v>
      </c>
    </row>
    <row r="57" spans="1:11" s="237" customFormat="1" ht="42.75">
      <c r="A57" s="422" t="s">
        <v>1070</v>
      </c>
      <c r="B57" s="423" t="s">
        <v>1423</v>
      </c>
      <c r="C57" s="423" t="s">
        <v>1400</v>
      </c>
      <c r="D57" s="422" t="s">
        <v>1424</v>
      </c>
      <c r="E57" s="423" t="s">
        <v>1425</v>
      </c>
      <c r="F57" s="424">
        <v>6416.88</v>
      </c>
      <c r="G57" s="425">
        <v>2.99</v>
      </c>
      <c r="H57" s="424">
        <v>25</v>
      </c>
      <c r="I57" s="425">
        <v>3.74</v>
      </c>
      <c r="J57" s="425">
        <v>23999.13</v>
      </c>
      <c r="K57" s="421">
        <f t="shared" si="0"/>
        <v>4.0435341454162993E-3</v>
      </c>
    </row>
    <row r="58" spans="1:11" s="237" customFormat="1" ht="42.75">
      <c r="A58" s="422" t="s">
        <v>883</v>
      </c>
      <c r="B58" s="423" t="s">
        <v>1497</v>
      </c>
      <c r="C58" s="423" t="s">
        <v>1400</v>
      </c>
      <c r="D58" s="422" t="s">
        <v>1498</v>
      </c>
      <c r="E58" s="423" t="s">
        <v>1398</v>
      </c>
      <c r="F58" s="424">
        <v>299.52999999999997</v>
      </c>
      <c r="G58" s="425">
        <v>61.06</v>
      </c>
      <c r="H58" s="424">
        <v>25</v>
      </c>
      <c r="I58" s="425">
        <v>76.33</v>
      </c>
      <c r="J58" s="425">
        <v>22863.119999999999</v>
      </c>
      <c r="K58" s="421">
        <f t="shared" si="0"/>
        <v>3.8521315727174398E-3</v>
      </c>
    </row>
    <row r="59" spans="1:11" s="237" customFormat="1" ht="42.75">
      <c r="A59" s="422" t="s">
        <v>1346</v>
      </c>
      <c r="B59" s="423" t="s">
        <v>1529</v>
      </c>
      <c r="C59" s="423" t="s">
        <v>1400</v>
      </c>
      <c r="D59" s="422" t="s">
        <v>1530</v>
      </c>
      <c r="E59" s="423" t="s">
        <v>1416</v>
      </c>
      <c r="F59" s="424">
        <v>102.5</v>
      </c>
      <c r="G59" s="425">
        <v>175.68</v>
      </c>
      <c r="H59" s="424">
        <v>25</v>
      </c>
      <c r="I59" s="425">
        <v>219.6</v>
      </c>
      <c r="J59" s="425">
        <v>22509</v>
      </c>
      <c r="K59" s="421">
        <f t="shared" si="0"/>
        <v>3.7924670635633658E-3</v>
      </c>
    </row>
    <row r="60" spans="1:11" s="237" customFormat="1" ht="42.75">
      <c r="A60" s="422" t="s">
        <v>879</v>
      </c>
      <c r="B60" s="423" t="s">
        <v>2041</v>
      </c>
      <c r="C60" s="423" t="s">
        <v>1400</v>
      </c>
      <c r="D60" s="422" t="s">
        <v>2042</v>
      </c>
      <c r="E60" s="423" t="s">
        <v>1398</v>
      </c>
      <c r="F60" s="424">
        <v>142</v>
      </c>
      <c r="G60" s="425">
        <v>122.58</v>
      </c>
      <c r="H60" s="424">
        <v>25</v>
      </c>
      <c r="I60" s="425">
        <v>153.22999999999999</v>
      </c>
      <c r="J60" s="425">
        <v>21758.66</v>
      </c>
      <c r="K60" s="421">
        <f t="shared" si="0"/>
        <v>3.6660447553100387E-3</v>
      </c>
    </row>
    <row r="61" spans="1:11" s="237" customFormat="1" ht="42.75">
      <c r="A61" s="422" t="s">
        <v>405</v>
      </c>
      <c r="B61" s="423" t="s">
        <v>1552</v>
      </c>
      <c r="C61" s="423" t="s">
        <v>1400</v>
      </c>
      <c r="D61" s="422" t="s">
        <v>1553</v>
      </c>
      <c r="E61" s="423" t="s">
        <v>1422</v>
      </c>
      <c r="F61" s="424">
        <v>22.23</v>
      </c>
      <c r="G61" s="425">
        <v>775.18</v>
      </c>
      <c r="H61" s="424">
        <v>25</v>
      </c>
      <c r="I61" s="425">
        <v>968.98</v>
      </c>
      <c r="J61" s="425">
        <v>21540.43</v>
      </c>
      <c r="K61" s="421">
        <f t="shared" si="0"/>
        <v>3.6292759034160659E-3</v>
      </c>
    </row>
    <row r="62" spans="1:11" s="237" customFormat="1" ht="28.5">
      <c r="A62" s="422" t="s">
        <v>898</v>
      </c>
      <c r="B62" s="423" t="s">
        <v>1012</v>
      </c>
      <c r="C62" s="423" t="s">
        <v>1396</v>
      </c>
      <c r="D62" s="422" t="s">
        <v>1531</v>
      </c>
      <c r="E62" s="423" t="s">
        <v>1416</v>
      </c>
      <c r="F62" s="424">
        <v>236.09</v>
      </c>
      <c r="G62" s="425">
        <v>71.53</v>
      </c>
      <c r="H62" s="424">
        <v>25</v>
      </c>
      <c r="I62" s="425">
        <v>89.41</v>
      </c>
      <c r="J62" s="425">
        <v>21108.81</v>
      </c>
      <c r="K62" s="421">
        <f t="shared" si="0"/>
        <v>3.5565536752417705E-3</v>
      </c>
    </row>
    <row r="63" spans="1:11" s="237" customFormat="1" ht="42.75">
      <c r="A63" s="422" t="s">
        <v>348</v>
      </c>
      <c r="B63" s="423" t="s">
        <v>1486</v>
      </c>
      <c r="C63" s="423" t="s">
        <v>1400</v>
      </c>
      <c r="D63" s="422" t="s">
        <v>1487</v>
      </c>
      <c r="E63" s="423" t="s">
        <v>1452</v>
      </c>
      <c r="F63" s="424">
        <v>1340.75</v>
      </c>
      <c r="G63" s="425">
        <v>12.1</v>
      </c>
      <c r="H63" s="424">
        <v>25</v>
      </c>
      <c r="I63" s="425">
        <v>15.13</v>
      </c>
      <c r="J63" s="425">
        <v>20285.55</v>
      </c>
      <c r="K63" s="421">
        <f t="shared" si="0"/>
        <v>3.417845317040643E-3</v>
      </c>
    </row>
    <row r="64" spans="1:11" s="237" customFormat="1" ht="57">
      <c r="A64" s="422" t="s">
        <v>665</v>
      </c>
      <c r="B64" s="423" t="s">
        <v>1786</v>
      </c>
      <c r="C64" s="423" t="s">
        <v>1400</v>
      </c>
      <c r="D64" s="422" t="s">
        <v>1787</v>
      </c>
      <c r="E64" s="423" t="s">
        <v>1403</v>
      </c>
      <c r="F64" s="424">
        <v>1</v>
      </c>
      <c r="G64" s="425">
        <v>15850.95</v>
      </c>
      <c r="H64" s="424">
        <v>25</v>
      </c>
      <c r="I64" s="425">
        <v>19813.689999999999</v>
      </c>
      <c r="J64" s="425">
        <v>19813.689999999999</v>
      </c>
      <c r="K64" s="421">
        <f t="shared" si="0"/>
        <v>3.3383431841776542E-3</v>
      </c>
    </row>
    <row r="65" spans="1:11" s="237" customFormat="1" ht="42.75">
      <c r="A65" s="422" t="s">
        <v>395</v>
      </c>
      <c r="B65" s="423" t="s">
        <v>1499</v>
      </c>
      <c r="C65" s="423" t="s">
        <v>1400</v>
      </c>
      <c r="D65" s="422" t="s">
        <v>1500</v>
      </c>
      <c r="E65" s="423" t="s">
        <v>1398</v>
      </c>
      <c r="F65" s="424">
        <v>16.850000000000001</v>
      </c>
      <c r="G65" s="425">
        <v>921.61</v>
      </c>
      <c r="H65" s="424">
        <v>25</v>
      </c>
      <c r="I65" s="425">
        <v>1152.01</v>
      </c>
      <c r="J65" s="425">
        <v>19411.37</v>
      </c>
      <c r="K65" s="421">
        <f t="shared" si="0"/>
        <v>3.2705576162264873E-3</v>
      </c>
    </row>
    <row r="66" spans="1:11" s="237" customFormat="1" ht="42.75">
      <c r="A66" s="422" t="s">
        <v>318</v>
      </c>
      <c r="B66" s="423" t="s">
        <v>1442</v>
      </c>
      <c r="C66" s="423" t="s">
        <v>1400</v>
      </c>
      <c r="D66" s="422" t="s">
        <v>1443</v>
      </c>
      <c r="E66" s="423" t="s">
        <v>1422</v>
      </c>
      <c r="F66" s="424">
        <v>96.2</v>
      </c>
      <c r="G66" s="425">
        <v>158.02000000000001</v>
      </c>
      <c r="H66" s="424">
        <v>25</v>
      </c>
      <c r="I66" s="425">
        <v>197.53</v>
      </c>
      <c r="J66" s="425">
        <v>19002.39</v>
      </c>
      <c r="K66" s="421">
        <f t="shared" si="0"/>
        <v>3.201649926873067E-3</v>
      </c>
    </row>
    <row r="67" spans="1:11" s="237" customFormat="1" ht="28.5">
      <c r="A67" s="422" t="s">
        <v>435</v>
      </c>
      <c r="B67" s="423" t="s">
        <v>1593</v>
      </c>
      <c r="C67" s="423" t="s">
        <v>1400</v>
      </c>
      <c r="D67" s="422" t="s">
        <v>1594</v>
      </c>
      <c r="E67" s="423" t="s">
        <v>1398</v>
      </c>
      <c r="F67" s="424">
        <v>22.64</v>
      </c>
      <c r="G67" s="425">
        <v>669.75</v>
      </c>
      <c r="H67" s="424">
        <v>25</v>
      </c>
      <c r="I67" s="425">
        <v>837.19</v>
      </c>
      <c r="J67" s="425">
        <v>18953.98</v>
      </c>
      <c r="K67" s="421">
        <f t="shared" si="0"/>
        <v>3.1934934858695971E-3</v>
      </c>
    </row>
    <row r="68" spans="1:11" s="237" customFormat="1" ht="57">
      <c r="A68" s="422" t="s">
        <v>439</v>
      </c>
      <c r="B68" s="423" t="s">
        <v>2507</v>
      </c>
      <c r="C68" s="423" t="s">
        <v>1400</v>
      </c>
      <c r="D68" s="422" t="s">
        <v>2515</v>
      </c>
      <c r="E68" s="423" t="s">
        <v>1398</v>
      </c>
      <c r="F68" s="424">
        <v>463.54</v>
      </c>
      <c r="G68" s="425">
        <v>31.26</v>
      </c>
      <c r="H68" s="424">
        <v>25</v>
      </c>
      <c r="I68" s="425">
        <v>39.08</v>
      </c>
      <c r="J68" s="425">
        <v>18115.14</v>
      </c>
      <c r="K68" s="421">
        <f t="shared" si="0"/>
        <v>3.0521601049286625E-3</v>
      </c>
    </row>
    <row r="69" spans="1:11" s="237" customFormat="1" ht="42.75">
      <c r="A69" s="422" t="s">
        <v>762</v>
      </c>
      <c r="B69" s="423" t="s">
        <v>1920</v>
      </c>
      <c r="C69" s="423" t="s">
        <v>1400</v>
      </c>
      <c r="D69" s="422" t="s">
        <v>1921</v>
      </c>
      <c r="E69" s="423" t="s">
        <v>1416</v>
      </c>
      <c r="F69" s="424">
        <v>1140.03</v>
      </c>
      <c r="G69" s="425">
        <v>12.62</v>
      </c>
      <c r="H69" s="424">
        <v>25</v>
      </c>
      <c r="I69" s="425">
        <v>15.78</v>
      </c>
      <c r="J69" s="425">
        <v>17989.669999999998</v>
      </c>
      <c r="K69" s="421">
        <f t="shared" si="0"/>
        <v>3.0310200790516668E-3</v>
      </c>
    </row>
    <row r="70" spans="1:11" s="237" customFormat="1" ht="42.75">
      <c r="A70" s="422" t="s">
        <v>785</v>
      </c>
      <c r="B70" s="423" t="s">
        <v>1938</v>
      </c>
      <c r="C70" s="423" t="s">
        <v>1400</v>
      </c>
      <c r="D70" s="422" t="s">
        <v>1939</v>
      </c>
      <c r="E70" s="423" t="s">
        <v>1416</v>
      </c>
      <c r="F70" s="424">
        <v>3127.79</v>
      </c>
      <c r="G70" s="425">
        <v>4.43</v>
      </c>
      <c r="H70" s="424">
        <v>25</v>
      </c>
      <c r="I70" s="425">
        <v>5.54</v>
      </c>
      <c r="J70" s="425">
        <v>17327.96</v>
      </c>
      <c r="K70" s="421">
        <f t="shared" si="0"/>
        <v>2.919530746756562E-3</v>
      </c>
    </row>
    <row r="71" spans="1:11" s="237" customFormat="1" ht="28.5">
      <c r="A71" s="422" t="s">
        <v>431</v>
      </c>
      <c r="B71" s="423" t="s">
        <v>1523</v>
      </c>
      <c r="C71" s="423" t="s">
        <v>1400</v>
      </c>
      <c r="D71" s="422" t="s">
        <v>1524</v>
      </c>
      <c r="E71" s="423" t="s">
        <v>1416</v>
      </c>
      <c r="F71" s="424">
        <v>258.39999999999998</v>
      </c>
      <c r="G71" s="425">
        <v>53.59</v>
      </c>
      <c r="H71" s="424">
        <v>25</v>
      </c>
      <c r="I71" s="425">
        <v>66.989999999999995</v>
      </c>
      <c r="J71" s="425">
        <v>17310.22</v>
      </c>
      <c r="K71" s="421">
        <f t="shared" si="0"/>
        <v>2.9165417927511593E-3</v>
      </c>
    </row>
    <row r="72" spans="1:11" s="237" customFormat="1" ht="71.25">
      <c r="A72" s="422" t="s">
        <v>408</v>
      </c>
      <c r="B72" s="423" t="s">
        <v>1555</v>
      </c>
      <c r="C72" s="423" t="s">
        <v>1400</v>
      </c>
      <c r="D72" s="422" t="s">
        <v>1556</v>
      </c>
      <c r="E72" s="423" t="s">
        <v>1416</v>
      </c>
      <c r="F72" s="424">
        <v>234.95</v>
      </c>
      <c r="G72" s="425">
        <v>56.7</v>
      </c>
      <c r="H72" s="424">
        <v>25</v>
      </c>
      <c r="I72" s="425">
        <v>70.88</v>
      </c>
      <c r="J72" s="425">
        <v>16653.259999999998</v>
      </c>
      <c r="K72" s="421">
        <f t="shared" si="0"/>
        <v>2.805852772266971E-3</v>
      </c>
    </row>
    <row r="73" spans="1:11" s="237" customFormat="1" ht="42.75">
      <c r="A73" s="422" t="s">
        <v>270</v>
      </c>
      <c r="B73" s="423" t="s">
        <v>1413</v>
      </c>
      <c r="C73" s="423" t="s">
        <v>1400</v>
      </c>
      <c r="D73" s="422" t="s">
        <v>1414</v>
      </c>
      <c r="E73" s="423" t="s">
        <v>1398</v>
      </c>
      <c r="F73" s="424">
        <v>18</v>
      </c>
      <c r="G73" s="425">
        <v>724.89</v>
      </c>
      <c r="H73" s="424">
        <v>25</v>
      </c>
      <c r="I73" s="425">
        <v>906.11</v>
      </c>
      <c r="J73" s="425">
        <v>16309.98</v>
      </c>
      <c r="K73" s="421">
        <f t="shared" si="0"/>
        <v>2.7480146589087574E-3</v>
      </c>
    </row>
    <row r="74" spans="1:11" s="237" customFormat="1" ht="71.25">
      <c r="A74" s="422" t="s">
        <v>1111</v>
      </c>
      <c r="B74" s="423" t="s">
        <v>1573</v>
      </c>
      <c r="C74" s="423" t="s">
        <v>1400</v>
      </c>
      <c r="D74" s="422" t="s">
        <v>1574</v>
      </c>
      <c r="E74" s="423" t="s">
        <v>1403</v>
      </c>
      <c r="F74" s="424">
        <v>11</v>
      </c>
      <c r="G74" s="425">
        <v>1150.6300000000001</v>
      </c>
      <c r="H74" s="424">
        <v>25</v>
      </c>
      <c r="I74" s="425">
        <v>1438.29</v>
      </c>
      <c r="J74" s="425">
        <v>15821.19</v>
      </c>
      <c r="K74" s="421">
        <f t="shared" si="0"/>
        <v>2.6656600462649643E-3</v>
      </c>
    </row>
    <row r="75" spans="1:11" s="237" customFormat="1" ht="42.75">
      <c r="A75" s="422" t="s">
        <v>899</v>
      </c>
      <c r="B75" s="423" t="s">
        <v>1013</v>
      </c>
      <c r="C75" s="423" t="s">
        <v>1396</v>
      </c>
      <c r="D75" s="422" t="s">
        <v>447</v>
      </c>
      <c r="E75" s="423" t="s">
        <v>1398</v>
      </c>
      <c r="F75" s="424">
        <v>50.68</v>
      </c>
      <c r="G75" s="425">
        <v>232.83</v>
      </c>
      <c r="H75" s="424">
        <v>25</v>
      </c>
      <c r="I75" s="425">
        <v>291.04000000000002</v>
      </c>
      <c r="J75" s="425">
        <v>14749.91</v>
      </c>
      <c r="K75" s="421">
        <f t="shared" si="0"/>
        <v>2.4851636174651882E-3</v>
      </c>
    </row>
    <row r="76" spans="1:11" s="237" customFormat="1" ht="71.25">
      <c r="A76" s="422" t="s">
        <v>410</v>
      </c>
      <c r="B76" s="423" t="s">
        <v>1567</v>
      </c>
      <c r="C76" s="423" t="s">
        <v>1400</v>
      </c>
      <c r="D76" s="422" t="s">
        <v>1568</v>
      </c>
      <c r="E76" s="423" t="s">
        <v>1403</v>
      </c>
      <c r="F76" s="424">
        <v>9</v>
      </c>
      <c r="G76" s="425">
        <v>1301.78</v>
      </c>
      <c r="H76" s="424">
        <v>25</v>
      </c>
      <c r="I76" s="425">
        <v>1627.23</v>
      </c>
      <c r="J76" s="425">
        <v>14645.07</v>
      </c>
      <c r="K76" s="421">
        <f t="shared" si="0"/>
        <v>2.467499472148027E-3</v>
      </c>
    </row>
    <row r="77" spans="1:11" s="237" customFormat="1" ht="28.5">
      <c r="A77" s="422" t="s">
        <v>936</v>
      </c>
      <c r="B77" s="423" t="s">
        <v>1561</v>
      </c>
      <c r="C77" s="423" t="s">
        <v>1400</v>
      </c>
      <c r="D77" s="422" t="s">
        <v>1562</v>
      </c>
      <c r="E77" s="423" t="s">
        <v>1398</v>
      </c>
      <c r="F77" s="424">
        <v>513.11</v>
      </c>
      <c r="G77" s="425">
        <v>22.41</v>
      </c>
      <c r="H77" s="424">
        <v>25</v>
      </c>
      <c r="I77" s="425">
        <v>28.01</v>
      </c>
      <c r="J77" s="425">
        <v>14372.21</v>
      </c>
      <c r="K77" s="421">
        <f t="shared" si="0"/>
        <v>2.421526191995026E-3</v>
      </c>
    </row>
    <row r="78" spans="1:11" s="237" customFormat="1" ht="28.5">
      <c r="A78" s="422" t="s">
        <v>823</v>
      </c>
      <c r="B78" s="423" t="s">
        <v>1004</v>
      </c>
      <c r="C78" s="423" t="s">
        <v>1396</v>
      </c>
      <c r="D78" s="422" t="s">
        <v>1989</v>
      </c>
      <c r="E78" s="423" t="s">
        <v>1416</v>
      </c>
      <c r="F78" s="424">
        <v>526.34</v>
      </c>
      <c r="G78" s="425">
        <v>20</v>
      </c>
      <c r="H78" s="424">
        <v>25</v>
      </c>
      <c r="I78" s="425">
        <v>25</v>
      </c>
      <c r="J78" s="425">
        <v>13158.5</v>
      </c>
      <c r="K78" s="421">
        <f t="shared" si="0"/>
        <v>2.2170322029365385E-3</v>
      </c>
    </row>
    <row r="79" spans="1:11" s="237" customFormat="1" ht="28.5">
      <c r="A79" s="422" t="s">
        <v>399</v>
      </c>
      <c r="B79" s="423" t="s">
        <v>1541</v>
      </c>
      <c r="C79" s="423" t="s">
        <v>1396</v>
      </c>
      <c r="D79" s="422" t="s">
        <v>457</v>
      </c>
      <c r="E79" s="423" t="s">
        <v>1416</v>
      </c>
      <c r="F79" s="424">
        <v>424.82</v>
      </c>
      <c r="G79" s="425">
        <v>23.15</v>
      </c>
      <c r="H79" s="424">
        <v>25</v>
      </c>
      <c r="I79" s="425">
        <v>28.94</v>
      </c>
      <c r="J79" s="425">
        <v>12294.29</v>
      </c>
      <c r="K79" s="421">
        <f t="shared" ref="K79:K142" si="1">J79/$J$436</f>
        <v>2.0714243144918233E-3</v>
      </c>
    </row>
    <row r="80" spans="1:11" s="237" customFormat="1" ht="57">
      <c r="A80" s="422" t="s">
        <v>271</v>
      </c>
      <c r="B80" s="423" t="s">
        <v>969</v>
      </c>
      <c r="C80" s="423" t="s">
        <v>1099</v>
      </c>
      <c r="D80" s="422" t="s">
        <v>1415</v>
      </c>
      <c r="E80" s="423" t="s">
        <v>1416</v>
      </c>
      <c r="F80" s="424">
        <v>72</v>
      </c>
      <c r="G80" s="425">
        <v>136.57</v>
      </c>
      <c r="H80" s="424">
        <v>25</v>
      </c>
      <c r="I80" s="425">
        <v>170.71</v>
      </c>
      <c r="J80" s="425">
        <v>12291.12</v>
      </c>
      <c r="K80" s="421">
        <f t="shared" si="1"/>
        <v>2.0708902116622222E-3</v>
      </c>
    </row>
    <row r="81" spans="1:11" s="237" customFormat="1" ht="57">
      <c r="A81" s="422" t="s">
        <v>716</v>
      </c>
      <c r="B81" s="423" t="s">
        <v>1871</v>
      </c>
      <c r="C81" s="423" t="s">
        <v>1400</v>
      </c>
      <c r="D81" s="422" t="s">
        <v>1872</v>
      </c>
      <c r="E81" s="423" t="s">
        <v>1416</v>
      </c>
      <c r="F81" s="424">
        <v>89.23</v>
      </c>
      <c r="G81" s="425">
        <v>109.64</v>
      </c>
      <c r="H81" s="424">
        <v>25</v>
      </c>
      <c r="I81" s="425">
        <v>137.05000000000001</v>
      </c>
      <c r="J81" s="425">
        <v>12228.97</v>
      </c>
      <c r="K81" s="421">
        <f t="shared" si="1"/>
        <v>2.0604187634414898E-3</v>
      </c>
    </row>
    <row r="82" spans="1:11" s="237" customFormat="1" ht="71.25">
      <c r="A82" s="422" t="s">
        <v>372</v>
      </c>
      <c r="B82" s="423" t="s">
        <v>1261</v>
      </c>
      <c r="C82" s="423" t="s">
        <v>1396</v>
      </c>
      <c r="D82" s="422" t="s">
        <v>1140</v>
      </c>
      <c r="E82" s="423" t="s">
        <v>1403</v>
      </c>
      <c r="F82" s="424">
        <v>6</v>
      </c>
      <c r="G82" s="425">
        <v>1617.92</v>
      </c>
      <c r="H82" s="424">
        <v>25</v>
      </c>
      <c r="I82" s="425">
        <v>2022.4</v>
      </c>
      <c r="J82" s="425">
        <v>12134.4</v>
      </c>
      <c r="K82" s="421">
        <f t="shared" si="1"/>
        <v>2.044484976502879E-3</v>
      </c>
    </row>
    <row r="83" spans="1:11" s="237" customFormat="1" ht="28.5">
      <c r="A83" s="422" t="s">
        <v>430</v>
      </c>
      <c r="B83" s="423" t="s">
        <v>1349</v>
      </c>
      <c r="C83" s="423" t="s">
        <v>1099</v>
      </c>
      <c r="D83" s="422" t="s">
        <v>1522</v>
      </c>
      <c r="E83" s="423" t="s">
        <v>1398</v>
      </c>
      <c r="F83" s="424">
        <v>14.46</v>
      </c>
      <c r="G83" s="425">
        <v>647.39</v>
      </c>
      <c r="H83" s="424">
        <v>25</v>
      </c>
      <c r="I83" s="425">
        <v>809.24</v>
      </c>
      <c r="J83" s="425">
        <v>11701.61</v>
      </c>
      <c r="K83" s="421">
        <f t="shared" si="1"/>
        <v>1.9715656188930525E-3</v>
      </c>
    </row>
    <row r="84" spans="1:11" s="237" customFormat="1" ht="42.75">
      <c r="A84" s="422" t="s">
        <v>482</v>
      </c>
      <c r="B84" s="423" t="s">
        <v>1557</v>
      </c>
      <c r="C84" s="423" t="s">
        <v>1400</v>
      </c>
      <c r="D84" s="422" t="s">
        <v>1558</v>
      </c>
      <c r="E84" s="423" t="s">
        <v>1398</v>
      </c>
      <c r="F84" s="424">
        <v>111.84</v>
      </c>
      <c r="G84" s="425">
        <v>83.65</v>
      </c>
      <c r="H84" s="424">
        <v>25</v>
      </c>
      <c r="I84" s="425">
        <v>104.56</v>
      </c>
      <c r="J84" s="425">
        <v>11693.99</v>
      </c>
      <c r="K84" s="421">
        <f t="shared" si="1"/>
        <v>1.9702817502616449E-3</v>
      </c>
    </row>
    <row r="85" spans="1:11" s="237" customFormat="1" ht="57">
      <c r="A85" s="422" t="s">
        <v>855</v>
      </c>
      <c r="B85" s="423" t="s">
        <v>2012</v>
      </c>
      <c r="C85" s="423" t="s">
        <v>1400</v>
      </c>
      <c r="D85" s="422" t="s">
        <v>2013</v>
      </c>
      <c r="E85" s="423" t="s">
        <v>1403</v>
      </c>
      <c r="F85" s="424">
        <v>12</v>
      </c>
      <c r="G85" s="425">
        <v>772.24</v>
      </c>
      <c r="H85" s="424">
        <v>25</v>
      </c>
      <c r="I85" s="425">
        <v>965.3</v>
      </c>
      <c r="J85" s="425">
        <v>11583.6</v>
      </c>
      <c r="K85" s="421">
        <f t="shared" si="1"/>
        <v>1.9516825037759387E-3</v>
      </c>
    </row>
    <row r="86" spans="1:11" s="237" customFormat="1" ht="28.5">
      <c r="A86" s="422" t="s">
        <v>1352</v>
      </c>
      <c r="B86" s="423" t="s">
        <v>1791</v>
      </c>
      <c r="C86" s="423" t="s">
        <v>1400</v>
      </c>
      <c r="D86" s="422" t="s">
        <v>1792</v>
      </c>
      <c r="E86" s="423" t="s">
        <v>1416</v>
      </c>
      <c r="F86" s="424">
        <v>160.07</v>
      </c>
      <c r="G86" s="425">
        <v>56.05</v>
      </c>
      <c r="H86" s="424">
        <v>25</v>
      </c>
      <c r="I86" s="425">
        <v>70.06</v>
      </c>
      <c r="J86" s="425">
        <v>11214.5</v>
      </c>
      <c r="K86" s="421">
        <f t="shared" si="1"/>
        <v>1.8894940639002783E-3</v>
      </c>
    </row>
    <row r="87" spans="1:11" s="237" customFormat="1" ht="42.75">
      <c r="A87" s="422" t="s">
        <v>1072</v>
      </c>
      <c r="B87" s="423" t="s">
        <v>1010</v>
      </c>
      <c r="C87" s="423" t="s">
        <v>1396</v>
      </c>
      <c r="D87" s="422" t="s">
        <v>43</v>
      </c>
      <c r="E87" s="423" t="s">
        <v>1398</v>
      </c>
      <c r="F87" s="424">
        <v>970.41</v>
      </c>
      <c r="G87" s="425">
        <v>9.1300000000000008</v>
      </c>
      <c r="H87" s="424">
        <v>25</v>
      </c>
      <c r="I87" s="425">
        <v>11.41</v>
      </c>
      <c r="J87" s="425">
        <v>11072.38</v>
      </c>
      <c r="K87" s="421">
        <f t="shared" si="1"/>
        <v>1.865548734517648E-3</v>
      </c>
    </row>
    <row r="88" spans="1:11" s="237" customFormat="1" ht="28.5">
      <c r="A88" s="422" t="s">
        <v>887</v>
      </c>
      <c r="B88" s="423" t="s">
        <v>1603</v>
      </c>
      <c r="C88" s="423" t="s">
        <v>1400</v>
      </c>
      <c r="D88" s="422" t="s">
        <v>1604</v>
      </c>
      <c r="E88" s="423" t="s">
        <v>1398</v>
      </c>
      <c r="F88" s="424">
        <v>609.99</v>
      </c>
      <c r="G88" s="425">
        <v>13.96</v>
      </c>
      <c r="H88" s="424">
        <v>25</v>
      </c>
      <c r="I88" s="425">
        <v>17.45</v>
      </c>
      <c r="J88" s="425">
        <v>10644.33</v>
      </c>
      <c r="K88" s="421">
        <f t="shared" si="1"/>
        <v>1.7934280038517678E-3</v>
      </c>
    </row>
    <row r="89" spans="1:11" s="237" customFormat="1" ht="57">
      <c r="A89" s="422" t="s">
        <v>765</v>
      </c>
      <c r="B89" s="423" t="s">
        <v>1311</v>
      </c>
      <c r="C89" s="423" t="s">
        <v>1099</v>
      </c>
      <c r="D89" s="422" t="s">
        <v>1310</v>
      </c>
      <c r="E89" s="423" t="s">
        <v>1416</v>
      </c>
      <c r="F89" s="424">
        <v>89.25</v>
      </c>
      <c r="G89" s="425">
        <v>91.83</v>
      </c>
      <c r="H89" s="424">
        <v>25</v>
      </c>
      <c r="I89" s="425">
        <v>114.79</v>
      </c>
      <c r="J89" s="425">
        <v>10245.01</v>
      </c>
      <c r="K89" s="421">
        <f t="shared" si="1"/>
        <v>1.7261478959917063E-3</v>
      </c>
    </row>
    <row r="90" spans="1:11" s="237" customFormat="1" ht="42.75">
      <c r="A90" s="422" t="s">
        <v>265</v>
      </c>
      <c r="B90" s="423" t="s">
        <v>1404</v>
      </c>
      <c r="C90" s="423" t="s">
        <v>1400</v>
      </c>
      <c r="D90" s="422" t="s">
        <v>1405</v>
      </c>
      <c r="E90" s="423" t="s">
        <v>1403</v>
      </c>
      <c r="F90" s="424">
        <v>1</v>
      </c>
      <c r="G90" s="425">
        <v>8132.93</v>
      </c>
      <c r="H90" s="424">
        <v>25</v>
      </c>
      <c r="I90" s="425">
        <v>10166.16</v>
      </c>
      <c r="J90" s="425">
        <v>10166.16</v>
      </c>
      <c r="K90" s="421">
        <f t="shared" si="1"/>
        <v>1.7128627199304875E-3</v>
      </c>
    </row>
    <row r="91" spans="1:11" s="237" customFormat="1" ht="42.75">
      <c r="A91" s="422" t="s">
        <v>773</v>
      </c>
      <c r="B91" s="423" t="s">
        <v>1932</v>
      </c>
      <c r="C91" s="423" t="s">
        <v>1400</v>
      </c>
      <c r="D91" s="422" t="s">
        <v>1933</v>
      </c>
      <c r="E91" s="423" t="s">
        <v>1403</v>
      </c>
      <c r="F91" s="424">
        <v>758</v>
      </c>
      <c r="G91" s="425">
        <v>10.69</v>
      </c>
      <c r="H91" s="424">
        <v>25</v>
      </c>
      <c r="I91" s="425">
        <v>13.36</v>
      </c>
      <c r="J91" s="425">
        <v>10126.879999999999</v>
      </c>
      <c r="K91" s="421">
        <f t="shared" si="1"/>
        <v>1.7062445624709483E-3</v>
      </c>
    </row>
    <row r="92" spans="1:11" s="237" customFormat="1" ht="42.75">
      <c r="A92" s="422" t="s">
        <v>389</v>
      </c>
      <c r="B92" s="423" t="s">
        <v>971</v>
      </c>
      <c r="C92" s="423" t="s">
        <v>1099</v>
      </c>
      <c r="D92" s="422" t="s">
        <v>1417</v>
      </c>
      <c r="E92" s="423" t="s">
        <v>1403</v>
      </c>
      <c r="F92" s="424">
        <v>1</v>
      </c>
      <c r="G92" s="425">
        <v>8034.12</v>
      </c>
      <c r="H92" s="424">
        <v>25</v>
      </c>
      <c r="I92" s="425">
        <v>10042.65</v>
      </c>
      <c r="J92" s="425">
        <v>10042.65</v>
      </c>
      <c r="K92" s="421">
        <f t="shared" si="1"/>
        <v>1.6920529279796806E-3</v>
      </c>
    </row>
    <row r="93" spans="1:11" s="237" customFormat="1" ht="28.5">
      <c r="A93" s="422" t="s">
        <v>332</v>
      </c>
      <c r="B93" s="423" t="s">
        <v>1011</v>
      </c>
      <c r="C93" s="423" t="s">
        <v>1396</v>
      </c>
      <c r="D93" s="422" t="s">
        <v>1461</v>
      </c>
      <c r="E93" s="423" t="s">
        <v>1462</v>
      </c>
      <c r="F93" s="424">
        <v>970.41</v>
      </c>
      <c r="G93" s="425">
        <v>8.24</v>
      </c>
      <c r="H93" s="424">
        <v>25</v>
      </c>
      <c r="I93" s="425">
        <v>10.3</v>
      </c>
      <c r="J93" s="425">
        <v>9995.2199999999993</v>
      </c>
      <c r="K93" s="421">
        <f t="shared" si="1"/>
        <v>1.6840616039393052E-3</v>
      </c>
    </row>
    <row r="94" spans="1:11" s="237" customFormat="1" ht="28.5">
      <c r="A94" s="422" t="s">
        <v>241</v>
      </c>
      <c r="B94" s="423" t="s">
        <v>1801</v>
      </c>
      <c r="C94" s="423" t="s">
        <v>1400</v>
      </c>
      <c r="D94" s="422" t="s">
        <v>1802</v>
      </c>
      <c r="E94" s="423" t="s">
        <v>1403</v>
      </c>
      <c r="F94" s="424">
        <v>13</v>
      </c>
      <c r="G94" s="425">
        <v>611.83000000000004</v>
      </c>
      <c r="H94" s="424">
        <v>25</v>
      </c>
      <c r="I94" s="425">
        <v>764.79</v>
      </c>
      <c r="J94" s="425">
        <v>9942.27</v>
      </c>
      <c r="K94" s="421">
        <f t="shared" si="1"/>
        <v>1.6751402333312962E-3</v>
      </c>
    </row>
    <row r="95" spans="1:11" s="237" customFormat="1" ht="28.5">
      <c r="A95" s="422" t="s">
        <v>888</v>
      </c>
      <c r="B95" s="423" t="s">
        <v>1012</v>
      </c>
      <c r="C95" s="423" t="s">
        <v>1396</v>
      </c>
      <c r="D95" s="422" t="s">
        <v>1531</v>
      </c>
      <c r="E95" s="423" t="s">
        <v>1416</v>
      </c>
      <c r="F95" s="424">
        <v>106.28</v>
      </c>
      <c r="G95" s="425">
        <v>71.53</v>
      </c>
      <c r="H95" s="424">
        <v>25</v>
      </c>
      <c r="I95" s="425">
        <v>89.41</v>
      </c>
      <c r="J95" s="425">
        <v>9502.49</v>
      </c>
      <c r="K95" s="421">
        <f t="shared" si="1"/>
        <v>1.6010431537091939E-3</v>
      </c>
    </row>
    <row r="96" spans="1:11" s="237" customFormat="1" ht="28.5">
      <c r="A96" s="422" t="s">
        <v>873</v>
      </c>
      <c r="B96" s="423" t="s">
        <v>1474</v>
      </c>
      <c r="C96" s="423" t="s">
        <v>1400</v>
      </c>
      <c r="D96" s="422" t="s">
        <v>1475</v>
      </c>
      <c r="E96" s="423" t="s">
        <v>1398</v>
      </c>
      <c r="F96" s="424">
        <v>166.15</v>
      </c>
      <c r="G96" s="425">
        <v>45.24</v>
      </c>
      <c r="H96" s="424">
        <v>25</v>
      </c>
      <c r="I96" s="425">
        <v>56.55</v>
      </c>
      <c r="J96" s="425">
        <v>9395.7800000000007</v>
      </c>
      <c r="K96" s="421">
        <f t="shared" si="1"/>
        <v>1.5830639382685772E-3</v>
      </c>
    </row>
    <row r="97" spans="1:11" s="237" customFormat="1" ht="42.75">
      <c r="A97" s="422" t="s">
        <v>307</v>
      </c>
      <c r="B97" s="423" t="s">
        <v>1230</v>
      </c>
      <c r="C97" s="423" t="s">
        <v>1396</v>
      </c>
      <c r="D97" s="422" t="s">
        <v>1229</v>
      </c>
      <c r="E97" s="423" t="s">
        <v>1403</v>
      </c>
      <c r="F97" s="424">
        <v>143</v>
      </c>
      <c r="G97" s="425">
        <v>52.14</v>
      </c>
      <c r="H97" s="424">
        <v>25</v>
      </c>
      <c r="I97" s="425">
        <v>65.180000000000007</v>
      </c>
      <c r="J97" s="425">
        <v>9320.74</v>
      </c>
      <c r="K97" s="421">
        <f t="shared" si="1"/>
        <v>1.570420696523062E-3</v>
      </c>
    </row>
    <row r="98" spans="1:11" s="237" customFormat="1" ht="28.5">
      <c r="A98" s="422" t="s">
        <v>1071</v>
      </c>
      <c r="B98" s="423" t="s">
        <v>1069</v>
      </c>
      <c r="C98" s="423" t="s">
        <v>1400</v>
      </c>
      <c r="D98" s="422" t="s">
        <v>1426</v>
      </c>
      <c r="E98" s="423" t="s">
        <v>1398</v>
      </c>
      <c r="F98" s="424">
        <v>2468.0300000000002</v>
      </c>
      <c r="G98" s="425">
        <v>2.95</v>
      </c>
      <c r="H98" s="424">
        <v>25</v>
      </c>
      <c r="I98" s="425">
        <v>3.69</v>
      </c>
      <c r="J98" s="425">
        <v>9107.0300000000007</v>
      </c>
      <c r="K98" s="421">
        <f t="shared" si="1"/>
        <v>1.5344134044996882E-3</v>
      </c>
    </row>
    <row r="99" spans="1:11" s="237" customFormat="1" ht="42.75">
      <c r="A99" s="422" t="s">
        <v>609</v>
      </c>
      <c r="B99" s="423" t="s">
        <v>1725</v>
      </c>
      <c r="C99" s="423" t="s">
        <v>1400</v>
      </c>
      <c r="D99" s="422" t="s">
        <v>1726</v>
      </c>
      <c r="E99" s="423" t="s">
        <v>1416</v>
      </c>
      <c r="F99" s="424">
        <v>160.75</v>
      </c>
      <c r="G99" s="425">
        <v>44.89</v>
      </c>
      <c r="H99" s="424">
        <v>25</v>
      </c>
      <c r="I99" s="425">
        <v>56.11</v>
      </c>
      <c r="J99" s="425">
        <v>9019.68</v>
      </c>
      <c r="K99" s="421">
        <f t="shared" si="1"/>
        <v>1.5196960915136708E-3</v>
      </c>
    </row>
    <row r="100" spans="1:11" s="237" customFormat="1" ht="71.25">
      <c r="A100" s="422" t="s">
        <v>412</v>
      </c>
      <c r="B100" s="423" t="s">
        <v>1571</v>
      </c>
      <c r="C100" s="423" t="s">
        <v>1400</v>
      </c>
      <c r="D100" s="422" t="s">
        <v>1572</v>
      </c>
      <c r="E100" s="423" t="s">
        <v>1403</v>
      </c>
      <c r="F100" s="424">
        <v>6</v>
      </c>
      <c r="G100" s="425">
        <v>1162.03</v>
      </c>
      <c r="H100" s="424">
        <v>25</v>
      </c>
      <c r="I100" s="425">
        <v>1452.54</v>
      </c>
      <c r="J100" s="425">
        <v>8715.24</v>
      </c>
      <c r="K100" s="421">
        <f t="shared" si="1"/>
        <v>1.4684020014683009E-3</v>
      </c>
    </row>
    <row r="101" spans="1:11" s="237" customFormat="1" ht="42.75">
      <c r="A101" s="422" t="s">
        <v>191</v>
      </c>
      <c r="B101" s="423" t="s">
        <v>2029</v>
      </c>
      <c r="C101" s="423" t="s">
        <v>1400</v>
      </c>
      <c r="D101" s="422" t="s">
        <v>2030</v>
      </c>
      <c r="E101" s="423" t="s">
        <v>1416</v>
      </c>
      <c r="F101" s="424">
        <v>144.58000000000001</v>
      </c>
      <c r="G101" s="425">
        <v>46.71</v>
      </c>
      <c r="H101" s="424">
        <v>25</v>
      </c>
      <c r="I101" s="425">
        <v>58.39</v>
      </c>
      <c r="J101" s="425">
        <v>8442.0300000000007</v>
      </c>
      <c r="K101" s="421">
        <f t="shared" si="1"/>
        <v>1.4223697509713378E-3</v>
      </c>
    </row>
    <row r="102" spans="1:11" s="237" customFormat="1" ht="42.75">
      <c r="A102" s="422" t="s">
        <v>771</v>
      </c>
      <c r="B102" s="423" t="s">
        <v>1928</v>
      </c>
      <c r="C102" s="423" t="s">
        <v>1400</v>
      </c>
      <c r="D102" s="422" t="s">
        <v>1929</v>
      </c>
      <c r="E102" s="423" t="s">
        <v>1403</v>
      </c>
      <c r="F102" s="424">
        <v>379</v>
      </c>
      <c r="G102" s="425">
        <v>17.46</v>
      </c>
      <c r="H102" s="424">
        <v>25</v>
      </c>
      <c r="I102" s="425">
        <v>21.83</v>
      </c>
      <c r="J102" s="425">
        <v>8273.57</v>
      </c>
      <c r="K102" s="421">
        <f t="shared" si="1"/>
        <v>1.3939864819888024E-3</v>
      </c>
    </row>
    <row r="103" spans="1:11" s="237" customFormat="1" ht="28.5">
      <c r="A103" s="422" t="s">
        <v>404</v>
      </c>
      <c r="B103" s="423" t="s">
        <v>1550</v>
      </c>
      <c r="C103" s="423" t="s">
        <v>1400</v>
      </c>
      <c r="D103" s="422" t="s">
        <v>1551</v>
      </c>
      <c r="E103" s="423" t="s">
        <v>1416</v>
      </c>
      <c r="F103" s="424">
        <v>53.7</v>
      </c>
      <c r="G103" s="425">
        <v>120.39</v>
      </c>
      <c r="H103" s="424">
        <v>25</v>
      </c>
      <c r="I103" s="425">
        <v>150.49</v>
      </c>
      <c r="J103" s="425">
        <v>8081.31</v>
      </c>
      <c r="K103" s="421">
        <f t="shared" si="1"/>
        <v>1.3615932296168318E-3</v>
      </c>
    </row>
    <row r="104" spans="1:11" s="237" customFormat="1" ht="42.75">
      <c r="A104" s="422" t="s">
        <v>429</v>
      </c>
      <c r="B104" s="423" t="s">
        <v>1348</v>
      </c>
      <c r="C104" s="423" t="s">
        <v>1099</v>
      </c>
      <c r="D104" s="422" t="s">
        <v>1131</v>
      </c>
      <c r="E104" s="423" t="s">
        <v>1398</v>
      </c>
      <c r="F104" s="424">
        <v>14.46</v>
      </c>
      <c r="G104" s="425">
        <v>446.23</v>
      </c>
      <c r="H104" s="424">
        <v>25</v>
      </c>
      <c r="I104" s="425">
        <v>557.79</v>
      </c>
      <c r="J104" s="425">
        <v>8065.64</v>
      </c>
      <c r="K104" s="421">
        <f t="shared" si="1"/>
        <v>1.3589530430742915E-3</v>
      </c>
    </row>
    <row r="105" spans="1:11" s="237" customFormat="1" ht="57">
      <c r="A105" s="422" t="s">
        <v>952</v>
      </c>
      <c r="B105" s="423" t="s">
        <v>1420</v>
      </c>
      <c r="C105" s="423" t="s">
        <v>1400</v>
      </c>
      <c r="D105" s="422" t="s">
        <v>1421</v>
      </c>
      <c r="E105" s="423" t="s">
        <v>1422</v>
      </c>
      <c r="F105" s="424">
        <v>641.69000000000005</v>
      </c>
      <c r="G105" s="425">
        <v>9.9</v>
      </c>
      <c r="H105" s="424">
        <v>25</v>
      </c>
      <c r="I105" s="425">
        <v>12.38</v>
      </c>
      <c r="J105" s="425">
        <v>7944.12</v>
      </c>
      <c r="K105" s="421">
        <f t="shared" si="1"/>
        <v>1.3384785396505844E-3</v>
      </c>
    </row>
    <row r="106" spans="1:11" s="237" customFormat="1" ht="28.5">
      <c r="A106" s="422" t="s">
        <v>440</v>
      </c>
      <c r="B106" s="423" t="s">
        <v>1601</v>
      </c>
      <c r="C106" s="423" t="s">
        <v>1396</v>
      </c>
      <c r="D106" s="422" t="s">
        <v>1602</v>
      </c>
      <c r="E106" s="423" t="s">
        <v>1398</v>
      </c>
      <c r="F106" s="424">
        <v>146.94999999999999</v>
      </c>
      <c r="G106" s="425">
        <v>42.72</v>
      </c>
      <c r="H106" s="424">
        <v>25</v>
      </c>
      <c r="I106" s="425">
        <v>53.4</v>
      </c>
      <c r="J106" s="425">
        <v>7847.13</v>
      </c>
      <c r="K106" s="421">
        <f t="shared" si="1"/>
        <v>1.3221370149051489E-3</v>
      </c>
    </row>
    <row r="107" spans="1:11" s="237" customFormat="1" ht="71.25">
      <c r="A107" s="422" t="s">
        <v>411</v>
      </c>
      <c r="B107" s="423" t="s">
        <v>1569</v>
      </c>
      <c r="C107" s="423" t="s">
        <v>1400</v>
      </c>
      <c r="D107" s="422" t="s">
        <v>1570</v>
      </c>
      <c r="E107" s="423" t="s">
        <v>1403</v>
      </c>
      <c r="F107" s="424">
        <v>5</v>
      </c>
      <c r="G107" s="425">
        <v>1217.3599999999999</v>
      </c>
      <c r="H107" s="424">
        <v>25</v>
      </c>
      <c r="I107" s="425">
        <v>1521.7</v>
      </c>
      <c r="J107" s="425">
        <v>7608.5</v>
      </c>
      <c r="K107" s="421">
        <f t="shared" si="1"/>
        <v>1.2819310343916597E-3</v>
      </c>
    </row>
    <row r="108" spans="1:11" s="237" customFormat="1" ht="42.75">
      <c r="A108" s="422" t="s">
        <v>789</v>
      </c>
      <c r="B108" s="423" t="s">
        <v>1942</v>
      </c>
      <c r="C108" s="423" t="s">
        <v>1400</v>
      </c>
      <c r="D108" s="422" t="s">
        <v>1943</v>
      </c>
      <c r="E108" s="423" t="s">
        <v>1416</v>
      </c>
      <c r="F108" s="424">
        <v>650.4</v>
      </c>
      <c r="G108" s="425">
        <v>9.2799999999999994</v>
      </c>
      <c r="H108" s="424">
        <v>25</v>
      </c>
      <c r="I108" s="425">
        <v>11.6</v>
      </c>
      <c r="J108" s="425">
        <v>7544.64</v>
      </c>
      <c r="K108" s="421">
        <f t="shared" si="1"/>
        <v>1.2711714739189973E-3</v>
      </c>
    </row>
    <row r="109" spans="1:11" s="237" customFormat="1" ht="28.5">
      <c r="A109" s="422" t="s">
        <v>878</v>
      </c>
      <c r="B109" s="423" t="s">
        <v>1467</v>
      </c>
      <c r="C109" s="423" t="s">
        <v>1400</v>
      </c>
      <c r="D109" s="422" t="s">
        <v>1468</v>
      </c>
      <c r="E109" s="423" t="s">
        <v>1452</v>
      </c>
      <c r="F109" s="424">
        <v>400.69</v>
      </c>
      <c r="G109" s="425">
        <v>14.93</v>
      </c>
      <c r="H109" s="424">
        <v>25</v>
      </c>
      <c r="I109" s="425">
        <v>18.66</v>
      </c>
      <c r="J109" s="425">
        <v>7476.88</v>
      </c>
      <c r="K109" s="421">
        <f t="shared" si="1"/>
        <v>1.2597548153278982E-3</v>
      </c>
    </row>
    <row r="110" spans="1:11" s="237" customFormat="1" ht="28.5">
      <c r="A110" s="422" t="s">
        <v>901</v>
      </c>
      <c r="B110" s="423" t="s">
        <v>1508</v>
      </c>
      <c r="C110" s="423" t="s">
        <v>1400</v>
      </c>
      <c r="D110" s="422" t="s">
        <v>1509</v>
      </c>
      <c r="E110" s="423" t="s">
        <v>1416</v>
      </c>
      <c r="F110" s="424">
        <v>132.19999999999999</v>
      </c>
      <c r="G110" s="425">
        <v>42.24</v>
      </c>
      <c r="H110" s="424">
        <v>25</v>
      </c>
      <c r="I110" s="425">
        <v>52.8</v>
      </c>
      <c r="J110" s="425">
        <v>6980.16</v>
      </c>
      <c r="K110" s="421">
        <f t="shared" si="1"/>
        <v>1.1760641031766164E-3</v>
      </c>
    </row>
    <row r="111" spans="1:11" s="237" customFormat="1" ht="42.75">
      <c r="A111" s="422" t="s">
        <v>881</v>
      </c>
      <c r="B111" s="423" t="s">
        <v>2045</v>
      </c>
      <c r="C111" s="423" t="s">
        <v>1400</v>
      </c>
      <c r="D111" s="422" t="s">
        <v>2046</v>
      </c>
      <c r="E111" s="423" t="s">
        <v>1452</v>
      </c>
      <c r="F111" s="424">
        <v>435.32</v>
      </c>
      <c r="G111" s="425">
        <v>12.59</v>
      </c>
      <c r="H111" s="424">
        <v>25</v>
      </c>
      <c r="I111" s="425">
        <v>15.74</v>
      </c>
      <c r="J111" s="425">
        <v>6851.94</v>
      </c>
      <c r="K111" s="421">
        <f t="shared" si="1"/>
        <v>1.1544607388827744E-3</v>
      </c>
    </row>
    <row r="112" spans="1:11" s="237" customFormat="1" ht="28.5">
      <c r="A112" s="422" t="s">
        <v>876</v>
      </c>
      <c r="B112" s="423" t="s">
        <v>1484</v>
      </c>
      <c r="C112" s="423" t="s">
        <v>1400</v>
      </c>
      <c r="D112" s="422" t="s">
        <v>1485</v>
      </c>
      <c r="E112" s="423" t="s">
        <v>1422</v>
      </c>
      <c r="F112" s="424">
        <v>14.39</v>
      </c>
      <c r="G112" s="425">
        <v>379.73</v>
      </c>
      <c r="H112" s="424">
        <v>25</v>
      </c>
      <c r="I112" s="425">
        <v>474.66</v>
      </c>
      <c r="J112" s="425">
        <v>6830.36</v>
      </c>
      <c r="K112" s="421">
        <f t="shared" si="1"/>
        <v>1.1508247959607565E-3</v>
      </c>
    </row>
    <row r="113" spans="1:11" s="237" customFormat="1" ht="28.5">
      <c r="A113" s="422" t="s">
        <v>1142</v>
      </c>
      <c r="B113" s="423" t="s">
        <v>1075</v>
      </c>
      <c r="C113" s="423" t="s">
        <v>1396</v>
      </c>
      <c r="D113" s="422" t="s">
        <v>1074</v>
      </c>
      <c r="E113" s="423" t="s">
        <v>1416</v>
      </c>
      <c r="F113" s="424">
        <v>137.13999999999999</v>
      </c>
      <c r="G113" s="425">
        <v>38.869999999999997</v>
      </c>
      <c r="H113" s="424">
        <v>25</v>
      </c>
      <c r="I113" s="425">
        <v>48.59</v>
      </c>
      <c r="J113" s="425">
        <v>6663.63</v>
      </c>
      <c r="K113" s="421">
        <f t="shared" si="1"/>
        <v>1.1227330089640922E-3</v>
      </c>
    </row>
    <row r="114" spans="1:11" s="237" customFormat="1" ht="28.5">
      <c r="A114" s="422" t="s">
        <v>1189</v>
      </c>
      <c r="B114" s="423" t="s">
        <v>1017</v>
      </c>
      <c r="C114" s="423" t="s">
        <v>1396</v>
      </c>
      <c r="D114" s="422" t="s">
        <v>939</v>
      </c>
      <c r="E114" s="423" t="s">
        <v>1422</v>
      </c>
      <c r="F114" s="424">
        <v>20.52</v>
      </c>
      <c r="G114" s="425">
        <v>259.7</v>
      </c>
      <c r="H114" s="424">
        <v>25</v>
      </c>
      <c r="I114" s="425">
        <v>324.63</v>
      </c>
      <c r="J114" s="425">
        <v>6661.41</v>
      </c>
      <c r="K114" s="421">
        <f t="shared" si="1"/>
        <v>1.1223589684966741E-3</v>
      </c>
    </row>
    <row r="115" spans="1:11" s="237" customFormat="1" ht="42.75">
      <c r="A115" s="422" t="s">
        <v>246</v>
      </c>
      <c r="B115" s="423" t="s">
        <v>1815</v>
      </c>
      <c r="C115" s="423" t="s">
        <v>1400</v>
      </c>
      <c r="D115" s="422" t="s">
        <v>1816</v>
      </c>
      <c r="E115" s="423" t="s">
        <v>1403</v>
      </c>
      <c r="F115" s="424">
        <v>11</v>
      </c>
      <c r="G115" s="425">
        <v>481.3</v>
      </c>
      <c r="H115" s="424">
        <v>25</v>
      </c>
      <c r="I115" s="425">
        <v>601.63</v>
      </c>
      <c r="J115" s="425">
        <v>6617.93</v>
      </c>
      <c r="K115" s="421">
        <f t="shared" si="1"/>
        <v>1.1150331669095876E-3</v>
      </c>
    </row>
    <row r="116" spans="1:11" s="237" customFormat="1" ht="28.5">
      <c r="A116" s="422" t="s">
        <v>345</v>
      </c>
      <c r="B116" s="423" t="s">
        <v>1481</v>
      </c>
      <c r="C116" s="423" t="s">
        <v>1400</v>
      </c>
      <c r="D116" s="422" t="s">
        <v>917</v>
      </c>
      <c r="E116" s="423" t="s">
        <v>1452</v>
      </c>
      <c r="F116" s="424">
        <v>304.93</v>
      </c>
      <c r="G116" s="425">
        <v>17</v>
      </c>
      <c r="H116" s="424">
        <v>25</v>
      </c>
      <c r="I116" s="425">
        <v>21.25</v>
      </c>
      <c r="J116" s="425">
        <v>6479.76</v>
      </c>
      <c r="K116" s="421">
        <f t="shared" si="1"/>
        <v>1.0917533599802459E-3</v>
      </c>
    </row>
    <row r="117" spans="1:11" s="237" customFormat="1" ht="42.75">
      <c r="A117" s="422" t="s">
        <v>417</v>
      </c>
      <c r="B117" s="423" t="s">
        <v>1078</v>
      </c>
      <c r="C117" s="423" t="s">
        <v>1396</v>
      </c>
      <c r="D117" s="422" t="s">
        <v>1581</v>
      </c>
      <c r="E117" s="423" t="s">
        <v>1403</v>
      </c>
      <c r="F117" s="424">
        <v>1</v>
      </c>
      <c r="G117" s="425">
        <v>5029.3999999999996</v>
      </c>
      <c r="H117" s="424">
        <v>25</v>
      </c>
      <c r="I117" s="425">
        <v>6286.75</v>
      </c>
      <c r="J117" s="425">
        <v>6286.75</v>
      </c>
      <c r="K117" s="421">
        <f t="shared" si="1"/>
        <v>1.0592337425854987E-3</v>
      </c>
    </row>
    <row r="118" spans="1:11" s="237" customFormat="1" ht="57">
      <c r="A118" s="422" t="s">
        <v>908</v>
      </c>
      <c r="B118" s="423" t="s">
        <v>1321</v>
      </c>
      <c r="C118" s="423" t="s">
        <v>1099</v>
      </c>
      <c r="D118" s="422" t="s">
        <v>1997</v>
      </c>
      <c r="E118" s="423" t="s">
        <v>1416</v>
      </c>
      <c r="F118" s="424">
        <v>48.97</v>
      </c>
      <c r="G118" s="425">
        <v>101.26</v>
      </c>
      <c r="H118" s="424">
        <v>25</v>
      </c>
      <c r="I118" s="425">
        <v>126.58</v>
      </c>
      <c r="J118" s="425">
        <v>6198.62</v>
      </c>
      <c r="K118" s="421">
        <f t="shared" si="1"/>
        <v>1.0443850099757942E-3</v>
      </c>
    </row>
    <row r="119" spans="1:11" s="237" customFormat="1" ht="28.5">
      <c r="A119" s="422" t="s">
        <v>849</v>
      </c>
      <c r="B119" s="423" t="s">
        <v>2006</v>
      </c>
      <c r="C119" s="423" t="s">
        <v>1400</v>
      </c>
      <c r="D119" s="422" t="s">
        <v>2007</v>
      </c>
      <c r="E119" s="423" t="s">
        <v>1416</v>
      </c>
      <c r="F119" s="424">
        <v>69.25</v>
      </c>
      <c r="G119" s="425">
        <v>70.680000000000007</v>
      </c>
      <c r="H119" s="424">
        <v>25</v>
      </c>
      <c r="I119" s="425">
        <v>88.35</v>
      </c>
      <c r="J119" s="425">
        <v>6118.24</v>
      </c>
      <c r="K119" s="421">
        <f t="shared" si="1"/>
        <v>1.0308420492681116E-3</v>
      </c>
    </row>
    <row r="120" spans="1:11" s="237" customFormat="1" ht="28.5">
      <c r="A120" s="422" t="s">
        <v>893</v>
      </c>
      <c r="B120" s="423" t="s">
        <v>2062</v>
      </c>
      <c r="C120" s="423" t="s">
        <v>1400</v>
      </c>
      <c r="D120" s="422" t="s">
        <v>2063</v>
      </c>
      <c r="E120" s="423" t="s">
        <v>1398</v>
      </c>
      <c r="F120" s="424">
        <v>1831.76</v>
      </c>
      <c r="G120" s="425">
        <v>2.66</v>
      </c>
      <c r="H120" s="424">
        <v>25</v>
      </c>
      <c r="I120" s="425">
        <v>3.33</v>
      </c>
      <c r="J120" s="425">
        <v>6099.76</v>
      </c>
      <c r="K120" s="421">
        <f t="shared" si="1"/>
        <v>1.0277284151069029E-3</v>
      </c>
    </row>
    <row r="121" spans="1:11" s="237" customFormat="1" ht="71.25">
      <c r="A121" s="422" t="s">
        <v>867</v>
      </c>
      <c r="B121" s="423" t="s">
        <v>991</v>
      </c>
      <c r="C121" s="423" t="s">
        <v>1099</v>
      </c>
      <c r="D121" s="422" t="s">
        <v>2024</v>
      </c>
      <c r="E121" s="423" t="s">
        <v>1403</v>
      </c>
      <c r="F121" s="424">
        <v>1</v>
      </c>
      <c r="G121" s="425">
        <v>4874.47</v>
      </c>
      <c r="H121" s="424">
        <v>25</v>
      </c>
      <c r="I121" s="425">
        <v>6093.09</v>
      </c>
      <c r="J121" s="425">
        <v>6093.09</v>
      </c>
      <c r="K121" s="421">
        <f t="shared" si="1"/>
        <v>1.0266046088376786E-3</v>
      </c>
    </row>
    <row r="122" spans="1:11" s="237" customFormat="1" ht="114">
      <c r="A122" s="422" t="s">
        <v>688</v>
      </c>
      <c r="B122" s="423" t="s">
        <v>995</v>
      </c>
      <c r="C122" s="423" t="s">
        <v>1099</v>
      </c>
      <c r="D122" s="422" t="s">
        <v>1853</v>
      </c>
      <c r="E122" s="423" t="s">
        <v>1403</v>
      </c>
      <c r="F122" s="424">
        <v>1</v>
      </c>
      <c r="G122" s="425">
        <v>4757.43</v>
      </c>
      <c r="H122" s="424">
        <v>25</v>
      </c>
      <c r="I122" s="425">
        <v>5946.79</v>
      </c>
      <c r="J122" s="425">
        <v>5946.79</v>
      </c>
      <c r="K122" s="421">
        <f t="shared" si="1"/>
        <v>1.0019550050614416E-3</v>
      </c>
    </row>
    <row r="123" spans="1:11" s="237" customFormat="1" ht="28.5">
      <c r="A123" s="422" t="s">
        <v>882</v>
      </c>
      <c r="B123" s="423" t="s">
        <v>2047</v>
      </c>
      <c r="C123" s="423" t="s">
        <v>1400</v>
      </c>
      <c r="D123" s="422" t="s">
        <v>2048</v>
      </c>
      <c r="E123" s="423" t="s">
        <v>1416</v>
      </c>
      <c r="F123" s="424">
        <v>115.34</v>
      </c>
      <c r="G123" s="425">
        <v>40.86</v>
      </c>
      <c r="H123" s="424">
        <v>25</v>
      </c>
      <c r="I123" s="425">
        <v>51.08</v>
      </c>
      <c r="J123" s="425">
        <v>5891.57</v>
      </c>
      <c r="K123" s="421">
        <f t="shared" si="1"/>
        <v>9.9265116965116247E-4</v>
      </c>
    </row>
    <row r="124" spans="1:11" s="237" customFormat="1" ht="42.75">
      <c r="A124" s="422" t="s">
        <v>766</v>
      </c>
      <c r="B124" s="423" t="s">
        <v>670</v>
      </c>
      <c r="C124" s="423" t="s">
        <v>1400</v>
      </c>
      <c r="D124" s="422" t="s">
        <v>1795</v>
      </c>
      <c r="E124" s="423" t="s">
        <v>1403</v>
      </c>
      <c r="F124" s="424">
        <v>16</v>
      </c>
      <c r="G124" s="425">
        <v>286.48</v>
      </c>
      <c r="H124" s="424">
        <v>25</v>
      </c>
      <c r="I124" s="425">
        <v>358.1</v>
      </c>
      <c r="J124" s="425">
        <v>5729.6</v>
      </c>
      <c r="K124" s="421">
        <f t="shared" si="1"/>
        <v>9.6536137933238536E-4</v>
      </c>
    </row>
    <row r="125" spans="1:11" s="237" customFormat="1" ht="57">
      <c r="A125" s="422" t="s">
        <v>422</v>
      </c>
      <c r="B125" s="423" t="s">
        <v>1588</v>
      </c>
      <c r="C125" s="423" t="s">
        <v>1400</v>
      </c>
      <c r="D125" s="422" t="s">
        <v>1589</v>
      </c>
      <c r="E125" s="423" t="s">
        <v>1398</v>
      </c>
      <c r="F125" s="424">
        <v>11.1</v>
      </c>
      <c r="G125" s="425">
        <v>409.28</v>
      </c>
      <c r="H125" s="424">
        <v>25</v>
      </c>
      <c r="I125" s="425">
        <v>511.6</v>
      </c>
      <c r="J125" s="425">
        <v>5678.76</v>
      </c>
      <c r="K125" s="421">
        <f t="shared" si="1"/>
        <v>9.5679551565512014E-4</v>
      </c>
    </row>
    <row r="126" spans="1:11" s="237" customFormat="1" ht="28.5">
      <c r="A126" s="422" t="s">
        <v>406</v>
      </c>
      <c r="B126" s="423" t="s">
        <v>1015</v>
      </c>
      <c r="C126" s="423" t="s">
        <v>1396</v>
      </c>
      <c r="D126" s="422" t="s">
        <v>1554</v>
      </c>
      <c r="E126" s="423" t="s">
        <v>1416</v>
      </c>
      <c r="F126" s="424">
        <v>463.98</v>
      </c>
      <c r="G126" s="425">
        <v>9.68</v>
      </c>
      <c r="H126" s="424">
        <v>25</v>
      </c>
      <c r="I126" s="425">
        <v>12.1</v>
      </c>
      <c r="J126" s="425">
        <v>5614.16</v>
      </c>
      <c r="K126" s="421">
        <f t="shared" si="1"/>
        <v>9.4591127502665175E-4</v>
      </c>
    </row>
    <row r="127" spans="1:11" s="237" customFormat="1" ht="42.75">
      <c r="A127" s="422" t="s">
        <v>605</v>
      </c>
      <c r="B127" s="423" t="s">
        <v>1721</v>
      </c>
      <c r="C127" s="423" t="s">
        <v>1400</v>
      </c>
      <c r="D127" s="422" t="s">
        <v>1722</v>
      </c>
      <c r="E127" s="423" t="s">
        <v>1416</v>
      </c>
      <c r="F127" s="424">
        <v>137.36000000000001</v>
      </c>
      <c r="G127" s="425">
        <v>32.21</v>
      </c>
      <c r="H127" s="424">
        <v>25</v>
      </c>
      <c r="I127" s="425">
        <v>40.26</v>
      </c>
      <c r="J127" s="425">
        <v>5530.11</v>
      </c>
      <c r="K127" s="421">
        <f t="shared" si="1"/>
        <v>9.3174996814085042E-4</v>
      </c>
    </row>
    <row r="128" spans="1:11" s="237" customFormat="1" ht="42.75">
      <c r="A128" s="422" t="s">
        <v>190</v>
      </c>
      <c r="B128" s="423" t="s">
        <v>2027</v>
      </c>
      <c r="C128" s="423" t="s">
        <v>1400</v>
      </c>
      <c r="D128" s="422" t="s">
        <v>2028</v>
      </c>
      <c r="E128" s="423" t="s">
        <v>1416</v>
      </c>
      <c r="F128" s="424">
        <v>144.58000000000001</v>
      </c>
      <c r="G128" s="425">
        <v>30.57</v>
      </c>
      <c r="H128" s="424">
        <v>25</v>
      </c>
      <c r="I128" s="425">
        <v>38.21</v>
      </c>
      <c r="J128" s="425">
        <v>5524.4</v>
      </c>
      <c r="K128" s="421">
        <f t="shared" si="1"/>
        <v>9.3078790910077998E-4</v>
      </c>
    </row>
    <row r="129" spans="1:11" s="237" customFormat="1" ht="42.75">
      <c r="A129" s="422" t="s">
        <v>315</v>
      </c>
      <c r="B129" s="423" t="s">
        <v>1438</v>
      </c>
      <c r="C129" s="423" t="s">
        <v>1400</v>
      </c>
      <c r="D129" s="422" t="s">
        <v>1439</v>
      </c>
      <c r="E129" s="423" t="s">
        <v>1398</v>
      </c>
      <c r="F129" s="424">
        <v>25.9</v>
      </c>
      <c r="G129" s="425">
        <v>170.52</v>
      </c>
      <c r="H129" s="424">
        <v>25</v>
      </c>
      <c r="I129" s="425">
        <v>213.15</v>
      </c>
      <c r="J129" s="425">
        <v>5520.59</v>
      </c>
      <c r="K129" s="421">
        <f t="shared" si="1"/>
        <v>9.3014597478507629E-4</v>
      </c>
    </row>
    <row r="130" spans="1:11" s="237" customFormat="1" ht="114">
      <c r="A130" s="422" t="s">
        <v>656</v>
      </c>
      <c r="B130" s="423" t="s">
        <v>1036</v>
      </c>
      <c r="C130" s="423" t="s">
        <v>1099</v>
      </c>
      <c r="D130" s="422" t="s">
        <v>1778</v>
      </c>
      <c r="E130" s="423" t="s">
        <v>1403</v>
      </c>
      <c r="F130" s="424">
        <v>11</v>
      </c>
      <c r="G130" s="425">
        <v>391.34</v>
      </c>
      <c r="H130" s="424">
        <v>25</v>
      </c>
      <c r="I130" s="425">
        <v>489.18</v>
      </c>
      <c r="J130" s="425">
        <v>5380.98</v>
      </c>
      <c r="K130" s="421">
        <f t="shared" si="1"/>
        <v>9.0662354701200401E-4</v>
      </c>
    </row>
    <row r="131" spans="1:11" s="237" customFormat="1" ht="57">
      <c r="A131" s="422" t="s">
        <v>1375</v>
      </c>
      <c r="B131" s="423" t="s">
        <v>1954</v>
      </c>
      <c r="C131" s="423" t="s">
        <v>1400</v>
      </c>
      <c r="D131" s="422" t="s">
        <v>1955</v>
      </c>
      <c r="E131" s="423" t="s">
        <v>1416</v>
      </c>
      <c r="F131" s="424">
        <v>35.549999999999997</v>
      </c>
      <c r="G131" s="425">
        <v>116.76</v>
      </c>
      <c r="H131" s="424">
        <v>25</v>
      </c>
      <c r="I131" s="425">
        <v>145.94999999999999</v>
      </c>
      <c r="J131" s="425">
        <v>5188.5200000000004</v>
      </c>
      <c r="K131" s="421">
        <f t="shared" si="1"/>
        <v>8.7419659730062621E-4</v>
      </c>
    </row>
    <row r="132" spans="1:11" s="237" customFormat="1" ht="42.75">
      <c r="A132" s="422" t="s">
        <v>875</v>
      </c>
      <c r="B132" s="423" t="s">
        <v>1482</v>
      </c>
      <c r="C132" s="423" t="s">
        <v>1400</v>
      </c>
      <c r="D132" s="422" t="s">
        <v>1483</v>
      </c>
      <c r="E132" s="423" t="s">
        <v>1422</v>
      </c>
      <c r="F132" s="424">
        <v>8.31</v>
      </c>
      <c r="G132" s="425">
        <v>478.6</v>
      </c>
      <c r="H132" s="424">
        <v>25</v>
      </c>
      <c r="I132" s="425">
        <v>598.25</v>
      </c>
      <c r="J132" s="425">
        <v>4971.46</v>
      </c>
      <c r="K132" s="421">
        <f t="shared" si="1"/>
        <v>8.3762487484218451E-4</v>
      </c>
    </row>
    <row r="133" spans="1:11" s="237" customFormat="1" ht="28.5">
      <c r="A133" s="422" t="s">
        <v>73</v>
      </c>
      <c r="B133" s="423" t="s">
        <v>1007</v>
      </c>
      <c r="C133" s="423" t="s">
        <v>1396</v>
      </c>
      <c r="D133" s="422" t="s">
        <v>1397</v>
      </c>
      <c r="E133" s="423" t="s">
        <v>1398</v>
      </c>
      <c r="F133" s="424">
        <v>10</v>
      </c>
      <c r="G133" s="425">
        <v>390.37</v>
      </c>
      <c r="H133" s="424">
        <v>25</v>
      </c>
      <c r="I133" s="425">
        <v>487.96</v>
      </c>
      <c r="J133" s="425">
        <v>4879.6000000000004</v>
      </c>
      <c r="K133" s="421">
        <f t="shared" si="1"/>
        <v>8.22147686852539E-4</v>
      </c>
    </row>
    <row r="134" spans="1:11" s="237" customFormat="1" ht="42.75">
      <c r="A134" s="422" t="s">
        <v>434</v>
      </c>
      <c r="B134" s="423" t="s">
        <v>1591</v>
      </c>
      <c r="C134" s="423" t="s">
        <v>1400</v>
      </c>
      <c r="D134" s="422" t="s">
        <v>1592</v>
      </c>
      <c r="E134" s="423" t="s">
        <v>1398</v>
      </c>
      <c r="F134" s="424">
        <v>5.38</v>
      </c>
      <c r="G134" s="425">
        <v>703.16</v>
      </c>
      <c r="H134" s="424">
        <v>25</v>
      </c>
      <c r="I134" s="425">
        <v>878.95</v>
      </c>
      <c r="J134" s="425">
        <v>4728.75</v>
      </c>
      <c r="K134" s="421">
        <f t="shared" si="1"/>
        <v>7.9673146860479208E-4</v>
      </c>
    </row>
    <row r="135" spans="1:11" s="237" customFormat="1" ht="42.75">
      <c r="A135" s="422" t="s">
        <v>607</v>
      </c>
      <c r="B135" s="423" t="s">
        <v>1723</v>
      </c>
      <c r="C135" s="423" t="s">
        <v>1400</v>
      </c>
      <c r="D135" s="422" t="s">
        <v>1724</v>
      </c>
      <c r="E135" s="423" t="s">
        <v>1416</v>
      </c>
      <c r="F135" s="424">
        <v>94.47</v>
      </c>
      <c r="G135" s="425">
        <v>39.96</v>
      </c>
      <c r="H135" s="424">
        <v>25</v>
      </c>
      <c r="I135" s="425">
        <v>49.95</v>
      </c>
      <c r="J135" s="425">
        <v>4718.78</v>
      </c>
      <c r="K135" s="421">
        <f t="shared" si="1"/>
        <v>7.9505165623535194E-4</v>
      </c>
    </row>
    <row r="136" spans="1:11" s="237" customFormat="1" ht="28.5">
      <c r="A136" s="422" t="s">
        <v>442</v>
      </c>
      <c r="B136" s="423" t="s">
        <v>1603</v>
      </c>
      <c r="C136" s="423" t="s">
        <v>1400</v>
      </c>
      <c r="D136" s="422" t="s">
        <v>1604</v>
      </c>
      <c r="E136" s="423" t="s">
        <v>1398</v>
      </c>
      <c r="F136" s="424">
        <v>270.23</v>
      </c>
      <c r="G136" s="425">
        <v>13.96</v>
      </c>
      <c r="H136" s="424">
        <v>25</v>
      </c>
      <c r="I136" s="425">
        <v>17.45</v>
      </c>
      <c r="J136" s="425">
        <v>4715.51</v>
      </c>
      <c r="K136" s="421">
        <f t="shared" si="1"/>
        <v>7.9450070473604726E-4</v>
      </c>
    </row>
    <row r="137" spans="1:11" s="237" customFormat="1" ht="42.75">
      <c r="A137" s="422" t="s">
        <v>783</v>
      </c>
      <c r="B137" s="423" t="s">
        <v>1936</v>
      </c>
      <c r="C137" s="423" t="s">
        <v>1400</v>
      </c>
      <c r="D137" s="422" t="s">
        <v>1937</v>
      </c>
      <c r="E137" s="423" t="s">
        <v>1416</v>
      </c>
      <c r="F137" s="424">
        <v>1192.3499999999999</v>
      </c>
      <c r="G137" s="425">
        <v>3.12</v>
      </c>
      <c r="H137" s="424">
        <v>25</v>
      </c>
      <c r="I137" s="425">
        <v>3.9</v>
      </c>
      <c r="J137" s="425">
        <v>4650.17</v>
      </c>
      <c r="K137" s="421">
        <f t="shared" si="1"/>
        <v>7.8349178395177295E-4</v>
      </c>
    </row>
    <row r="138" spans="1:11" s="237" customFormat="1" ht="57">
      <c r="A138" s="422" t="s">
        <v>1389</v>
      </c>
      <c r="B138" s="423" t="s">
        <v>1382</v>
      </c>
      <c r="C138" s="423" t="s">
        <v>1099</v>
      </c>
      <c r="D138" s="422" t="s">
        <v>1980</v>
      </c>
      <c r="E138" s="423" t="s">
        <v>1403</v>
      </c>
      <c r="F138" s="424">
        <v>29</v>
      </c>
      <c r="G138" s="425">
        <v>126.82</v>
      </c>
      <c r="H138" s="424">
        <v>25</v>
      </c>
      <c r="I138" s="425">
        <v>158.53</v>
      </c>
      <c r="J138" s="425">
        <v>4597.37</v>
      </c>
      <c r="K138" s="421">
        <f t="shared" si="1"/>
        <v>7.7459568634831888E-4</v>
      </c>
    </row>
    <row r="139" spans="1:11" s="237" customFormat="1" ht="28.5">
      <c r="A139" s="422" t="s">
        <v>712</v>
      </c>
      <c r="B139" s="423" t="s">
        <v>1867</v>
      </c>
      <c r="C139" s="423" t="s">
        <v>1400</v>
      </c>
      <c r="D139" s="422" t="s">
        <v>1868</v>
      </c>
      <c r="E139" s="423" t="s">
        <v>1403</v>
      </c>
      <c r="F139" s="424">
        <v>1</v>
      </c>
      <c r="G139" s="425">
        <v>3626.58</v>
      </c>
      <c r="H139" s="424">
        <v>25</v>
      </c>
      <c r="I139" s="425">
        <v>4533.2299999999996</v>
      </c>
      <c r="J139" s="425">
        <v>4533.2299999999996</v>
      </c>
      <c r="K139" s="421">
        <f t="shared" si="1"/>
        <v>7.6378894960048662E-4</v>
      </c>
    </row>
    <row r="140" spans="1:11" s="237" customFormat="1" ht="71.25">
      <c r="A140" s="422" t="s">
        <v>303</v>
      </c>
      <c r="B140" s="423" t="s">
        <v>1832</v>
      </c>
      <c r="C140" s="423" t="s">
        <v>1400</v>
      </c>
      <c r="D140" s="422" t="s">
        <v>1833</v>
      </c>
      <c r="E140" s="423" t="s">
        <v>1416</v>
      </c>
      <c r="F140" s="424">
        <v>5.56</v>
      </c>
      <c r="G140" s="425">
        <v>650.65</v>
      </c>
      <c r="H140" s="424">
        <v>25</v>
      </c>
      <c r="I140" s="425">
        <v>813.31</v>
      </c>
      <c r="J140" s="425">
        <v>4522</v>
      </c>
      <c r="K140" s="421">
        <f t="shared" si="1"/>
        <v>7.6189684399278243E-4</v>
      </c>
    </row>
    <row r="141" spans="1:11" s="237" customFormat="1" ht="28.5">
      <c r="A141" s="422" t="s">
        <v>199</v>
      </c>
      <c r="B141" s="423" t="s">
        <v>1563</v>
      </c>
      <c r="C141" s="423" t="s">
        <v>1400</v>
      </c>
      <c r="D141" s="422" t="s">
        <v>1564</v>
      </c>
      <c r="E141" s="423" t="s">
        <v>1422</v>
      </c>
      <c r="F141" s="424">
        <v>32.79</v>
      </c>
      <c r="G141" s="425">
        <v>108.67</v>
      </c>
      <c r="H141" s="424">
        <v>25</v>
      </c>
      <c r="I141" s="425">
        <v>135.84</v>
      </c>
      <c r="J141" s="425">
        <v>4454.1899999999996</v>
      </c>
      <c r="K141" s="421">
        <f t="shared" si="1"/>
        <v>7.5047176106683136E-4</v>
      </c>
    </row>
    <row r="142" spans="1:11" s="237" customFormat="1" ht="42.75">
      <c r="A142" s="422" t="s">
        <v>792</v>
      </c>
      <c r="B142" s="423" t="s">
        <v>1946</v>
      </c>
      <c r="C142" s="423" t="s">
        <v>1400</v>
      </c>
      <c r="D142" s="422" t="s">
        <v>1947</v>
      </c>
      <c r="E142" s="423" t="s">
        <v>1416</v>
      </c>
      <c r="F142" s="424">
        <v>148.1</v>
      </c>
      <c r="G142" s="425">
        <v>23.58</v>
      </c>
      <c r="H142" s="424">
        <v>25</v>
      </c>
      <c r="I142" s="425">
        <v>29.48</v>
      </c>
      <c r="J142" s="425">
        <v>4365.99</v>
      </c>
      <c r="K142" s="421">
        <f t="shared" si="1"/>
        <v>7.3561123438833432E-4</v>
      </c>
    </row>
    <row r="143" spans="1:11" s="237" customFormat="1" ht="28.5">
      <c r="A143" s="422" t="s">
        <v>253</v>
      </c>
      <c r="B143" s="423" t="s">
        <v>1469</v>
      </c>
      <c r="C143" s="423" t="s">
        <v>1400</v>
      </c>
      <c r="D143" s="422" t="s">
        <v>1470</v>
      </c>
      <c r="E143" s="423" t="s">
        <v>1398</v>
      </c>
      <c r="F143" s="424">
        <v>99.69</v>
      </c>
      <c r="G143" s="425">
        <v>34.42</v>
      </c>
      <c r="H143" s="424">
        <v>25</v>
      </c>
      <c r="I143" s="425">
        <v>43.03</v>
      </c>
      <c r="J143" s="425">
        <v>4289.66</v>
      </c>
      <c r="K143" s="421">
        <f t="shared" ref="K143:K206" si="2">J143/$J$436</f>
        <v>7.2275064480364416E-4</v>
      </c>
    </row>
    <row r="144" spans="1:11" s="237" customFormat="1" ht="28.5">
      <c r="A144" s="422" t="s">
        <v>1228</v>
      </c>
      <c r="B144" s="423" t="s">
        <v>1061</v>
      </c>
      <c r="C144" s="423" t="s">
        <v>1396</v>
      </c>
      <c r="D144" s="422" t="s">
        <v>957</v>
      </c>
      <c r="E144" s="423" t="s">
        <v>1403</v>
      </c>
      <c r="F144" s="424">
        <v>38</v>
      </c>
      <c r="G144" s="425">
        <v>89.66</v>
      </c>
      <c r="H144" s="424">
        <v>25</v>
      </c>
      <c r="I144" s="425">
        <v>112.08</v>
      </c>
      <c r="J144" s="425">
        <v>4259.04</v>
      </c>
      <c r="K144" s="421">
        <f t="shared" si="2"/>
        <v>7.1759158214042902E-4</v>
      </c>
    </row>
    <row r="145" spans="1:11" s="237" customFormat="1" ht="28.5">
      <c r="A145" s="422" t="s">
        <v>1390</v>
      </c>
      <c r="B145" s="423" t="s">
        <v>1981</v>
      </c>
      <c r="C145" s="423" t="s">
        <v>1400</v>
      </c>
      <c r="D145" s="422" t="s">
        <v>1982</v>
      </c>
      <c r="E145" s="423" t="s">
        <v>1403</v>
      </c>
      <c r="F145" s="424">
        <v>79</v>
      </c>
      <c r="G145" s="425">
        <v>42.55</v>
      </c>
      <c r="H145" s="424">
        <v>25</v>
      </c>
      <c r="I145" s="425">
        <v>53.19</v>
      </c>
      <c r="J145" s="425">
        <v>4202.01</v>
      </c>
      <c r="K145" s="421">
        <f t="shared" si="2"/>
        <v>7.0798278580851658E-4</v>
      </c>
    </row>
    <row r="146" spans="1:11" s="237" customFormat="1" ht="42.75">
      <c r="A146" s="422" t="s">
        <v>433</v>
      </c>
      <c r="B146" s="423" t="s">
        <v>1527</v>
      </c>
      <c r="C146" s="423" t="s">
        <v>1400</v>
      </c>
      <c r="D146" s="422" t="s">
        <v>1528</v>
      </c>
      <c r="E146" s="423" t="s">
        <v>1416</v>
      </c>
      <c r="F146" s="424">
        <v>36.700000000000003</v>
      </c>
      <c r="G146" s="425">
        <v>91.31</v>
      </c>
      <c r="H146" s="424">
        <v>25</v>
      </c>
      <c r="I146" s="425">
        <v>114.14</v>
      </c>
      <c r="J146" s="425">
        <v>4188.9399999999996</v>
      </c>
      <c r="K146" s="421">
        <f t="shared" si="2"/>
        <v>7.0578066467826754E-4</v>
      </c>
    </row>
    <row r="147" spans="1:11" s="237" customFormat="1" ht="71.25">
      <c r="A147" s="422" t="s">
        <v>710</v>
      </c>
      <c r="B147" s="423" t="s">
        <v>1865</v>
      </c>
      <c r="C147" s="423" t="s">
        <v>1400</v>
      </c>
      <c r="D147" s="422" t="s">
        <v>1866</v>
      </c>
      <c r="E147" s="423" t="s">
        <v>1403</v>
      </c>
      <c r="F147" s="424">
        <v>2</v>
      </c>
      <c r="G147" s="425">
        <v>1635.07</v>
      </c>
      <c r="H147" s="424">
        <v>25</v>
      </c>
      <c r="I147" s="425">
        <v>2043.84</v>
      </c>
      <c r="J147" s="425">
        <v>4087.68</v>
      </c>
      <c r="K147" s="421">
        <f t="shared" si="2"/>
        <v>6.8871970173649201E-4</v>
      </c>
    </row>
    <row r="148" spans="1:11" s="237" customFormat="1" ht="28.5">
      <c r="A148" s="422" t="s">
        <v>661</v>
      </c>
      <c r="B148" s="423" t="s">
        <v>1040</v>
      </c>
      <c r="C148" s="423" t="s">
        <v>1396</v>
      </c>
      <c r="D148" s="422" t="s">
        <v>1783</v>
      </c>
      <c r="E148" s="423" t="s">
        <v>1403</v>
      </c>
      <c r="F148" s="424">
        <v>32</v>
      </c>
      <c r="G148" s="425">
        <v>101.89</v>
      </c>
      <c r="H148" s="424">
        <v>25</v>
      </c>
      <c r="I148" s="425">
        <v>127.36</v>
      </c>
      <c r="J148" s="425">
        <v>4075.52</v>
      </c>
      <c r="K148" s="421">
        <f t="shared" si="2"/>
        <v>6.8667090350054501E-4</v>
      </c>
    </row>
    <row r="149" spans="1:11" s="237" customFormat="1" ht="28.5">
      <c r="A149" s="422" t="s">
        <v>419</v>
      </c>
      <c r="B149" s="423" t="s">
        <v>1582</v>
      </c>
      <c r="C149" s="423" t="s">
        <v>1400</v>
      </c>
      <c r="D149" s="422" t="s">
        <v>1583</v>
      </c>
      <c r="E149" s="423" t="s">
        <v>1398</v>
      </c>
      <c r="F149" s="424">
        <v>5.22</v>
      </c>
      <c r="G149" s="425">
        <v>614.74</v>
      </c>
      <c r="H149" s="424">
        <v>25</v>
      </c>
      <c r="I149" s="425">
        <v>768.43</v>
      </c>
      <c r="J149" s="425">
        <v>4011.2</v>
      </c>
      <c r="K149" s="421">
        <f t="shared" si="2"/>
        <v>6.7583383914724651E-4</v>
      </c>
    </row>
    <row r="150" spans="1:11" s="237" customFormat="1" ht="57">
      <c r="A150" s="422" t="s">
        <v>329</v>
      </c>
      <c r="B150" s="423" t="s">
        <v>1448</v>
      </c>
      <c r="C150" s="423" t="s">
        <v>1400</v>
      </c>
      <c r="D150" s="422" t="s">
        <v>1449</v>
      </c>
      <c r="E150" s="423" t="s">
        <v>1416</v>
      </c>
      <c r="F150" s="424">
        <v>27</v>
      </c>
      <c r="G150" s="425">
        <v>117.35</v>
      </c>
      <c r="H150" s="424">
        <v>25</v>
      </c>
      <c r="I150" s="425">
        <v>146.69</v>
      </c>
      <c r="J150" s="425">
        <v>3960.63</v>
      </c>
      <c r="K150" s="421">
        <f t="shared" si="2"/>
        <v>6.6731346687818086E-4</v>
      </c>
    </row>
    <row r="151" spans="1:11" s="237" customFormat="1" ht="42.75">
      <c r="A151" s="422" t="s">
        <v>1354</v>
      </c>
      <c r="B151" s="423" t="s">
        <v>670</v>
      </c>
      <c r="C151" s="423" t="s">
        <v>1400</v>
      </c>
      <c r="D151" s="422" t="s">
        <v>1795</v>
      </c>
      <c r="E151" s="423" t="s">
        <v>1403</v>
      </c>
      <c r="F151" s="424">
        <v>11</v>
      </c>
      <c r="G151" s="425">
        <v>286.48</v>
      </c>
      <c r="H151" s="424">
        <v>25</v>
      </c>
      <c r="I151" s="425">
        <v>358.1</v>
      </c>
      <c r="J151" s="425">
        <v>3939.1</v>
      </c>
      <c r="K151" s="421">
        <f t="shared" si="2"/>
        <v>6.6368594829101484E-4</v>
      </c>
    </row>
    <row r="152" spans="1:11" s="237" customFormat="1" ht="42.75">
      <c r="A152" s="422" t="s">
        <v>1344</v>
      </c>
      <c r="B152" s="423" t="s">
        <v>1714</v>
      </c>
      <c r="C152" s="423" t="s">
        <v>1400</v>
      </c>
      <c r="D152" s="422" t="s">
        <v>1715</v>
      </c>
      <c r="E152" s="423" t="s">
        <v>931</v>
      </c>
      <c r="F152" s="424">
        <v>9</v>
      </c>
      <c r="G152" s="425">
        <v>344.83</v>
      </c>
      <c r="H152" s="424">
        <v>25</v>
      </c>
      <c r="I152" s="425">
        <v>431.04</v>
      </c>
      <c r="J152" s="425">
        <v>3879.36</v>
      </c>
      <c r="K152" s="421">
        <f t="shared" si="2"/>
        <v>6.5362055301013719E-4</v>
      </c>
    </row>
    <row r="153" spans="1:11" s="237" customFormat="1" ht="57">
      <c r="A153" s="422" t="s">
        <v>884</v>
      </c>
      <c r="B153" s="423" t="s">
        <v>1504</v>
      </c>
      <c r="C153" s="423" t="s">
        <v>1400</v>
      </c>
      <c r="D153" s="422" t="s">
        <v>1505</v>
      </c>
      <c r="E153" s="423" t="s">
        <v>1398</v>
      </c>
      <c r="F153" s="424">
        <v>609.99</v>
      </c>
      <c r="G153" s="425">
        <v>4.95</v>
      </c>
      <c r="H153" s="424">
        <v>25</v>
      </c>
      <c r="I153" s="425">
        <v>6.19</v>
      </c>
      <c r="J153" s="425">
        <v>3775.84</v>
      </c>
      <c r="K153" s="421">
        <f t="shared" si="2"/>
        <v>6.3617881013306224E-4</v>
      </c>
    </row>
    <row r="154" spans="1:11" s="237" customFormat="1" ht="57">
      <c r="A154" s="422" t="s">
        <v>1341</v>
      </c>
      <c r="B154" s="423" t="s">
        <v>1709</v>
      </c>
      <c r="C154" s="423" t="s">
        <v>1400</v>
      </c>
      <c r="D154" s="422" t="s">
        <v>1710</v>
      </c>
      <c r="E154" s="423" t="s">
        <v>1403</v>
      </c>
      <c r="F154" s="424">
        <v>2</v>
      </c>
      <c r="G154" s="425">
        <v>1495.65</v>
      </c>
      <c r="H154" s="424">
        <v>25</v>
      </c>
      <c r="I154" s="425">
        <v>1869.56</v>
      </c>
      <c r="J154" s="425">
        <v>3739.12</v>
      </c>
      <c r="K154" s="421">
        <f t="shared" si="2"/>
        <v>6.2999197861793288E-4</v>
      </c>
    </row>
    <row r="155" spans="1:11" s="237" customFormat="1" ht="42.75">
      <c r="A155" s="422" t="s">
        <v>331</v>
      </c>
      <c r="B155" s="423" t="s">
        <v>1459</v>
      </c>
      <c r="C155" s="423" t="s">
        <v>1400</v>
      </c>
      <c r="D155" s="422" t="s">
        <v>1460</v>
      </c>
      <c r="E155" s="423" t="s">
        <v>1452</v>
      </c>
      <c r="F155" s="424">
        <v>295.20999999999998</v>
      </c>
      <c r="G155" s="425">
        <v>10.07</v>
      </c>
      <c r="H155" s="424">
        <v>25</v>
      </c>
      <c r="I155" s="425">
        <v>12.59</v>
      </c>
      <c r="J155" s="425">
        <v>3716.69</v>
      </c>
      <c r="K155" s="421">
        <f t="shared" si="2"/>
        <v>6.2621282200343528E-4</v>
      </c>
    </row>
    <row r="156" spans="1:11" s="237" customFormat="1" ht="28.5">
      <c r="A156" s="422" t="s">
        <v>301</v>
      </c>
      <c r="B156" s="423" t="s">
        <v>1809</v>
      </c>
      <c r="C156" s="423" t="s">
        <v>1400</v>
      </c>
      <c r="D156" s="422" t="s">
        <v>1810</v>
      </c>
      <c r="E156" s="423" t="s">
        <v>1403</v>
      </c>
      <c r="F156" s="424">
        <v>18</v>
      </c>
      <c r="G156" s="425">
        <v>162.74</v>
      </c>
      <c r="H156" s="424">
        <v>25</v>
      </c>
      <c r="I156" s="425">
        <v>203.43</v>
      </c>
      <c r="J156" s="425">
        <v>3661.74</v>
      </c>
      <c r="K156" s="421">
        <f t="shared" si="2"/>
        <v>6.169544780013558E-4</v>
      </c>
    </row>
    <row r="157" spans="1:11" s="237" customFormat="1" ht="42.75">
      <c r="A157" s="422" t="s">
        <v>1340</v>
      </c>
      <c r="B157" s="423" t="s">
        <v>1707</v>
      </c>
      <c r="C157" s="423" t="s">
        <v>1400</v>
      </c>
      <c r="D157" s="422" t="s">
        <v>1708</v>
      </c>
      <c r="E157" s="423" t="s">
        <v>1403</v>
      </c>
      <c r="F157" s="424">
        <v>2</v>
      </c>
      <c r="G157" s="425">
        <v>1450.27</v>
      </c>
      <c r="H157" s="424">
        <v>25</v>
      </c>
      <c r="I157" s="425">
        <v>1812.84</v>
      </c>
      <c r="J157" s="425">
        <v>3625.68</v>
      </c>
      <c r="K157" s="421">
        <f t="shared" si="2"/>
        <v>6.1087884770626957E-4</v>
      </c>
    </row>
    <row r="158" spans="1:11" s="237" customFormat="1" ht="42.75">
      <c r="A158" s="422" t="s">
        <v>874</v>
      </c>
      <c r="B158" s="423" t="s">
        <v>1479</v>
      </c>
      <c r="C158" s="423" t="s">
        <v>1400</v>
      </c>
      <c r="D158" s="422" t="s">
        <v>1480</v>
      </c>
      <c r="E158" s="423" t="s">
        <v>1422</v>
      </c>
      <c r="F158" s="424">
        <v>6.08</v>
      </c>
      <c r="G158" s="425">
        <v>464.49</v>
      </c>
      <c r="H158" s="424">
        <v>25</v>
      </c>
      <c r="I158" s="425">
        <v>580.61</v>
      </c>
      <c r="J158" s="425">
        <v>3530.11</v>
      </c>
      <c r="K158" s="421">
        <f t="shared" si="2"/>
        <v>5.9477657407062392E-4</v>
      </c>
    </row>
    <row r="159" spans="1:11" s="237" customFormat="1" ht="28.5">
      <c r="A159" s="422" t="s">
        <v>1120</v>
      </c>
      <c r="B159" s="423" t="s">
        <v>2064</v>
      </c>
      <c r="C159" s="423" t="s">
        <v>1400</v>
      </c>
      <c r="D159" s="422" t="s">
        <v>2065</v>
      </c>
      <c r="E159" s="423" t="s">
        <v>1398</v>
      </c>
      <c r="F159" s="424">
        <v>2553.8000000000002</v>
      </c>
      <c r="G159" s="425">
        <v>1.0900000000000001</v>
      </c>
      <c r="H159" s="424">
        <v>25</v>
      </c>
      <c r="I159" s="425">
        <v>1.36</v>
      </c>
      <c r="J159" s="425">
        <v>3473.17</v>
      </c>
      <c r="K159" s="421">
        <f t="shared" si="2"/>
        <v>5.8518294154144448E-4</v>
      </c>
    </row>
    <row r="160" spans="1:11" s="237" customFormat="1" ht="57">
      <c r="A160" s="422" t="s">
        <v>738</v>
      </c>
      <c r="B160" s="423" t="s">
        <v>1891</v>
      </c>
      <c r="C160" s="423" t="s">
        <v>1400</v>
      </c>
      <c r="D160" s="422" t="s">
        <v>1892</v>
      </c>
      <c r="E160" s="423" t="s">
        <v>1403</v>
      </c>
      <c r="F160" s="424">
        <v>3</v>
      </c>
      <c r="G160" s="425">
        <v>924.27</v>
      </c>
      <c r="H160" s="424">
        <v>25</v>
      </c>
      <c r="I160" s="425">
        <v>1155.3399999999999</v>
      </c>
      <c r="J160" s="425">
        <v>3466.02</v>
      </c>
      <c r="K160" s="421">
        <f t="shared" si="2"/>
        <v>5.8397826165764344E-4</v>
      </c>
    </row>
    <row r="161" spans="1:11" s="237" customFormat="1" ht="57">
      <c r="A161" s="422" t="s">
        <v>174</v>
      </c>
      <c r="B161" s="423" t="s">
        <v>1813</v>
      </c>
      <c r="C161" s="423" t="s">
        <v>1400</v>
      </c>
      <c r="D161" s="422" t="s">
        <v>1814</v>
      </c>
      <c r="E161" s="423" t="s">
        <v>1403</v>
      </c>
      <c r="F161" s="424">
        <v>3</v>
      </c>
      <c r="G161" s="425">
        <v>888.97</v>
      </c>
      <c r="H161" s="424">
        <v>25</v>
      </c>
      <c r="I161" s="425">
        <v>1111.21</v>
      </c>
      <c r="J161" s="425">
        <v>3333.63</v>
      </c>
      <c r="K161" s="421">
        <f t="shared" si="2"/>
        <v>5.6167230783716487E-4</v>
      </c>
    </row>
    <row r="162" spans="1:11" s="237" customFormat="1" ht="28.5">
      <c r="A162" s="422" t="s">
        <v>413</v>
      </c>
      <c r="B162" s="423" t="s">
        <v>1575</v>
      </c>
      <c r="C162" s="423" t="s">
        <v>1400</v>
      </c>
      <c r="D162" s="422" t="s">
        <v>1576</v>
      </c>
      <c r="E162" s="423" t="s">
        <v>1403</v>
      </c>
      <c r="F162" s="424">
        <v>10</v>
      </c>
      <c r="G162" s="425">
        <v>263.69</v>
      </c>
      <c r="H162" s="424">
        <v>25</v>
      </c>
      <c r="I162" s="425">
        <v>329.61</v>
      </c>
      <c r="J162" s="425">
        <v>3296.1</v>
      </c>
      <c r="K162" s="421">
        <f t="shared" si="2"/>
        <v>5.5534900209743704E-4</v>
      </c>
    </row>
    <row r="163" spans="1:11" s="237" customFormat="1" ht="28.5">
      <c r="A163" s="422" t="s">
        <v>769</v>
      </c>
      <c r="B163" s="423" t="s">
        <v>1926</v>
      </c>
      <c r="C163" s="423" t="s">
        <v>1400</v>
      </c>
      <c r="D163" s="422" t="s">
        <v>1927</v>
      </c>
      <c r="E163" s="423" t="s">
        <v>1403</v>
      </c>
      <c r="F163" s="424">
        <v>109</v>
      </c>
      <c r="G163" s="425">
        <v>23.44</v>
      </c>
      <c r="H163" s="424">
        <v>25</v>
      </c>
      <c r="I163" s="425">
        <v>29.3</v>
      </c>
      <c r="J163" s="425">
        <v>3193.7</v>
      </c>
      <c r="K163" s="421">
        <f t="shared" si="2"/>
        <v>5.3809596432104136E-4</v>
      </c>
    </row>
    <row r="164" spans="1:11" s="237" customFormat="1" ht="28.5">
      <c r="A164" s="422" t="s">
        <v>886</v>
      </c>
      <c r="B164" s="423" t="s">
        <v>2049</v>
      </c>
      <c r="C164" s="423" t="s">
        <v>1400</v>
      </c>
      <c r="D164" s="422" t="s">
        <v>2050</v>
      </c>
      <c r="E164" s="423" t="s">
        <v>1398</v>
      </c>
      <c r="F164" s="424">
        <v>609.99</v>
      </c>
      <c r="G164" s="425">
        <v>4.1500000000000004</v>
      </c>
      <c r="H164" s="424">
        <v>25</v>
      </c>
      <c r="I164" s="425">
        <v>5.19</v>
      </c>
      <c r="J164" s="425">
        <v>3165.85</v>
      </c>
      <c r="K164" s="421">
        <f t="shared" si="2"/>
        <v>5.3340360980861344E-4</v>
      </c>
    </row>
    <row r="165" spans="1:11" s="237" customFormat="1" ht="14.25">
      <c r="A165" s="422" t="s">
        <v>1369</v>
      </c>
      <c r="B165" s="423" t="s">
        <v>1049</v>
      </c>
      <c r="C165" s="423" t="s">
        <v>1396</v>
      </c>
      <c r="D165" s="422" t="s">
        <v>1881</v>
      </c>
      <c r="E165" s="423" t="s">
        <v>1403</v>
      </c>
      <c r="F165" s="424">
        <v>1</v>
      </c>
      <c r="G165" s="425">
        <v>2530.9</v>
      </c>
      <c r="H165" s="424">
        <v>25</v>
      </c>
      <c r="I165" s="425">
        <v>3163.63</v>
      </c>
      <c r="J165" s="425">
        <v>3163.63</v>
      </c>
      <c r="K165" s="421">
        <f t="shared" si="2"/>
        <v>5.3302956934119558E-4</v>
      </c>
    </row>
    <row r="166" spans="1:11" s="237" customFormat="1" ht="28.5">
      <c r="A166" s="422" t="s">
        <v>264</v>
      </c>
      <c r="B166" s="423" t="s">
        <v>1008</v>
      </c>
      <c r="C166" s="423" t="s">
        <v>1396</v>
      </c>
      <c r="D166" s="422" t="s">
        <v>1402</v>
      </c>
      <c r="E166" s="423" t="s">
        <v>1403</v>
      </c>
      <c r="F166" s="424">
        <v>1</v>
      </c>
      <c r="G166" s="425">
        <v>2470.33</v>
      </c>
      <c r="H166" s="424">
        <v>25</v>
      </c>
      <c r="I166" s="425">
        <v>3087.91</v>
      </c>
      <c r="J166" s="425">
        <v>3087.91</v>
      </c>
      <c r="K166" s="421">
        <f t="shared" si="2"/>
        <v>5.2027175664169677E-4</v>
      </c>
    </row>
    <row r="167" spans="1:11" s="237" customFormat="1" ht="57">
      <c r="A167" s="422" t="s">
        <v>653</v>
      </c>
      <c r="B167" s="423" t="s">
        <v>1774</v>
      </c>
      <c r="C167" s="423" t="s">
        <v>1400</v>
      </c>
      <c r="D167" s="422" t="s">
        <v>1775</v>
      </c>
      <c r="E167" s="423" t="s">
        <v>1403</v>
      </c>
      <c r="F167" s="424">
        <v>26</v>
      </c>
      <c r="G167" s="425">
        <v>89.66</v>
      </c>
      <c r="H167" s="424">
        <v>25</v>
      </c>
      <c r="I167" s="425">
        <v>112.08</v>
      </c>
      <c r="J167" s="425">
        <v>2914.08</v>
      </c>
      <c r="K167" s="421">
        <f t="shared" si="2"/>
        <v>4.90983714096083E-4</v>
      </c>
    </row>
    <row r="168" spans="1:11" s="237" customFormat="1" ht="28.5">
      <c r="A168" s="422" t="s">
        <v>517</v>
      </c>
      <c r="B168" s="423" t="s">
        <v>1622</v>
      </c>
      <c r="C168" s="423" t="s">
        <v>1400</v>
      </c>
      <c r="D168" s="422" t="s">
        <v>1623</v>
      </c>
      <c r="E168" s="423" t="s">
        <v>1416</v>
      </c>
      <c r="F168" s="424">
        <v>43.84</v>
      </c>
      <c r="G168" s="425">
        <v>52.72</v>
      </c>
      <c r="H168" s="424">
        <v>25</v>
      </c>
      <c r="I168" s="425">
        <v>65.900000000000006</v>
      </c>
      <c r="J168" s="425">
        <v>2889.06</v>
      </c>
      <c r="K168" s="421">
        <f t="shared" si="2"/>
        <v>4.8676817693626447E-4</v>
      </c>
    </row>
    <row r="169" spans="1:11" s="237" customFormat="1" ht="42.75">
      <c r="A169" s="422" t="s">
        <v>799</v>
      </c>
      <c r="B169" s="423" t="s">
        <v>1958</v>
      </c>
      <c r="C169" s="423" t="s">
        <v>1400</v>
      </c>
      <c r="D169" s="422" t="s">
        <v>1959</v>
      </c>
      <c r="E169" s="423" t="s">
        <v>1403</v>
      </c>
      <c r="F169" s="424">
        <v>42</v>
      </c>
      <c r="G169" s="425">
        <v>53.61</v>
      </c>
      <c r="H169" s="424">
        <v>25</v>
      </c>
      <c r="I169" s="425">
        <v>67.010000000000005</v>
      </c>
      <c r="J169" s="425">
        <v>2814.42</v>
      </c>
      <c r="K169" s="421">
        <f t="shared" si="2"/>
        <v>4.7419232986956365E-4</v>
      </c>
    </row>
    <row r="170" spans="1:11" s="237" customFormat="1" ht="42.75">
      <c r="A170" s="422" t="s">
        <v>242</v>
      </c>
      <c r="B170" s="423" t="s">
        <v>1803</v>
      </c>
      <c r="C170" s="423" t="s">
        <v>1400</v>
      </c>
      <c r="D170" s="422" t="s">
        <v>1804</v>
      </c>
      <c r="E170" s="423" t="s">
        <v>1403</v>
      </c>
      <c r="F170" s="424">
        <v>4</v>
      </c>
      <c r="G170" s="425">
        <v>562.02</v>
      </c>
      <c r="H170" s="424">
        <v>25</v>
      </c>
      <c r="I170" s="425">
        <v>702.53</v>
      </c>
      <c r="J170" s="425">
        <v>2810.12</v>
      </c>
      <c r="K170" s="421">
        <f t="shared" si="2"/>
        <v>4.734678370723126E-4</v>
      </c>
    </row>
    <row r="171" spans="1:11" s="237" customFormat="1" ht="28.5">
      <c r="A171" s="422" t="s">
        <v>418</v>
      </c>
      <c r="B171" s="423" t="s">
        <v>1018</v>
      </c>
      <c r="C171" s="423" t="s">
        <v>1396</v>
      </c>
      <c r="D171" s="422" t="s">
        <v>147</v>
      </c>
      <c r="E171" s="423" t="s">
        <v>1398</v>
      </c>
      <c r="F171" s="424">
        <v>5.92</v>
      </c>
      <c r="G171" s="425">
        <v>378.48</v>
      </c>
      <c r="H171" s="424">
        <v>25</v>
      </c>
      <c r="I171" s="425">
        <v>473.1</v>
      </c>
      <c r="J171" s="425">
        <v>2800.75</v>
      </c>
      <c r="K171" s="421">
        <f t="shared" si="2"/>
        <v>4.7188911672109364E-4</v>
      </c>
    </row>
    <row r="172" spans="1:11" s="237" customFormat="1" ht="42.75">
      <c r="A172" s="422" t="s">
        <v>421</v>
      </c>
      <c r="B172" s="423" t="s">
        <v>1586</v>
      </c>
      <c r="C172" s="423" t="s">
        <v>1400</v>
      </c>
      <c r="D172" s="422" t="s">
        <v>1587</v>
      </c>
      <c r="E172" s="423" t="s">
        <v>1398</v>
      </c>
      <c r="F172" s="424">
        <v>2.6</v>
      </c>
      <c r="G172" s="425">
        <v>855.06</v>
      </c>
      <c r="H172" s="424">
        <v>25</v>
      </c>
      <c r="I172" s="425">
        <v>1068.83</v>
      </c>
      <c r="J172" s="425">
        <v>2778.96</v>
      </c>
      <c r="K172" s="421">
        <f t="shared" si="2"/>
        <v>4.682177915926985E-4</v>
      </c>
    </row>
    <row r="173" spans="1:11" s="237" customFormat="1" ht="28.5">
      <c r="A173" s="422" t="s">
        <v>877</v>
      </c>
      <c r="B173" s="423" t="s">
        <v>2039</v>
      </c>
      <c r="C173" s="423" t="s">
        <v>1400</v>
      </c>
      <c r="D173" s="422" t="s">
        <v>2040</v>
      </c>
      <c r="E173" s="423" t="s">
        <v>1452</v>
      </c>
      <c r="F173" s="424">
        <v>105.27</v>
      </c>
      <c r="G173" s="425">
        <v>20.95</v>
      </c>
      <c r="H173" s="424">
        <v>25</v>
      </c>
      <c r="I173" s="425">
        <v>26.19</v>
      </c>
      <c r="J173" s="425">
        <v>2757.02</v>
      </c>
      <c r="K173" s="421">
        <f t="shared" si="2"/>
        <v>4.6452119345974813E-4</v>
      </c>
    </row>
    <row r="174" spans="1:11" s="237" customFormat="1" ht="57">
      <c r="A174" s="422" t="s">
        <v>701</v>
      </c>
      <c r="B174" s="423" t="s">
        <v>1863</v>
      </c>
      <c r="C174" s="423" t="s">
        <v>1396</v>
      </c>
      <c r="D174" s="422" t="s">
        <v>1864</v>
      </c>
      <c r="E174" s="423" t="s">
        <v>1403</v>
      </c>
      <c r="F174" s="424">
        <v>44</v>
      </c>
      <c r="G174" s="425">
        <v>47.39</v>
      </c>
      <c r="H174" s="424">
        <v>25</v>
      </c>
      <c r="I174" s="425">
        <v>59.24</v>
      </c>
      <c r="J174" s="425">
        <v>2606.56</v>
      </c>
      <c r="K174" s="421">
        <f t="shared" si="2"/>
        <v>4.3917068502384495E-4</v>
      </c>
    </row>
    <row r="175" spans="1:11" s="237" customFormat="1" ht="42.75">
      <c r="A175" s="422" t="s">
        <v>337</v>
      </c>
      <c r="B175" s="423" t="s">
        <v>1465</v>
      </c>
      <c r="C175" s="423" t="s">
        <v>1400</v>
      </c>
      <c r="D175" s="422" t="s">
        <v>1466</v>
      </c>
      <c r="E175" s="423" t="s">
        <v>1398</v>
      </c>
      <c r="F175" s="424">
        <v>10.24</v>
      </c>
      <c r="G175" s="425">
        <v>201.77</v>
      </c>
      <c r="H175" s="424">
        <v>25</v>
      </c>
      <c r="I175" s="425">
        <v>252.21</v>
      </c>
      <c r="J175" s="425">
        <v>2582.63</v>
      </c>
      <c r="K175" s="421">
        <f t="shared" si="2"/>
        <v>4.3513879836379473E-4</v>
      </c>
    </row>
    <row r="176" spans="1:11" s="237" customFormat="1" ht="42.75">
      <c r="A176" s="422" t="s">
        <v>340</v>
      </c>
      <c r="B176" s="423" t="s">
        <v>1472</v>
      </c>
      <c r="C176" s="423" t="s">
        <v>1400</v>
      </c>
      <c r="D176" s="422" t="s">
        <v>1473</v>
      </c>
      <c r="E176" s="423" t="s">
        <v>1398</v>
      </c>
      <c r="F176" s="424">
        <v>970.41</v>
      </c>
      <c r="G176" s="425">
        <v>2.13</v>
      </c>
      <c r="H176" s="424">
        <v>25</v>
      </c>
      <c r="I176" s="425">
        <v>2.66</v>
      </c>
      <c r="J176" s="425">
        <v>2581.29</v>
      </c>
      <c r="K176" s="421">
        <f t="shared" si="2"/>
        <v>4.3491302618976763E-4</v>
      </c>
    </row>
    <row r="177" spans="1:11" s="237" customFormat="1" ht="42.75">
      <c r="A177" s="422" t="s">
        <v>837</v>
      </c>
      <c r="B177" s="423" t="s">
        <v>1920</v>
      </c>
      <c r="C177" s="423" t="s">
        <v>1400</v>
      </c>
      <c r="D177" s="422" t="s">
        <v>1921</v>
      </c>
      <c r="E177" s="423" t="s">
        <v>1416</v>
      </c>
      <c r="F177" s="424">
        <v>161.61000000000001</v>
      </c>
      <c r="G177" s="425">
        <v>12.62</v>
      </c>
      <c r="H177" s="424">
        <v>25</v>
      </c>
      <c r="I177" s="425">
        <v>15.78</v>
      </c>
      <c r="J177" s="425">
        <v>2550.21</v>
      </c>
      <c r="K177" s="421">
        <f t="shared" si="2"/>
        <v>4.2967645964591636E-4</v>
      </c>
    </row>
    <row r="178" spans="1:11" s="237" customFormat="1" ht="57">
      <c r="A178" s="422" t="s">
        <v>436</v>
      </c>
      <c r="B178" s="423" t="s">
        <v>1020</v>
      </c>
      <c r="C178" s="423" t="s">
        <v>1396</v>
      </c>
      <c r="D178" s="422" t="s">
        <v>275</v>
      </c>
      <c r="E178" s="423" t="s">
        <v>1398</v>
      </c>
      <c r="F178" s="424">
        <v>2.1</v>
      </c>
      <c r="G178" s="425">
        <v>967.35</v>
      </c>
      <c r="H178" s="424">
        <v>25</v>
      </c>
      <c r="I178" s="425">
        <v>1209.19</v>
      </c>
      <c r="J178" s="425">
        <v>2539.3000000000002</v>
      </c>
      <c r="K178" s="421">
        <f t="shared" si="2"/>
        <v>4.2783826978126329E-4</v>
      </c>
    </row>
    <row r="179" spans="1:11" s="237" customFormat="1" ht="28.5">
      <c r="A179" s="422" t="s">
        <v>819</v>
      </c>
      <c r="B179" s="423" t="s">
        <v>1985</v>
      </c>
      <c r="C179" s="423" t="s">
        <v>1400</v>
      </c>
      <c r="D179" s="422" t="s">
        <v>1986</v>
      </c>
      <c r="E179" s="423" t="s">
        <v>1403</v>
      </c>
      <c r="F179" s="424">
        <v>1</v>
      </c>
      <c r="G179" s="425">
        <v>1999.81</v>
      </c>
      <c r="H179" s="424">
        <v>25</v>
      </c>
      <c r="I179" s="425">
        <v>2499.7600000000002</v>
      </c>
      <c r="J179" s="425">
        <v>2499.7600000000002</v>
      </c>
      <c r="K179" s="421">
        <f t="shared" si="2"/>
        <v>4.2117630578049489E-4</v>
      </c>
    </row>
    <row r="180" spans="1:11" s="237" customFormat="1" ht="57">
      <c r="A180" s="422" t="s">
        <v>1373</v>
      </c>
      <c r="B180" s="423" t="s">
        <v>1950</v>
      </c>
      <c r="C180" s="423" t="s">
        <v>1400</v>
      </c>
      <c r="D180" s="422" t="s">
        <v>1951</v>
      </c>
      <c r="E180" s="423" t="s">
        <v>1416</v>
      </c>
      <c r="F180" s="424">
        <v>55.8</v>
      </c>
      <c r="G180" s="425">
        <v>35.14</v>
      </c>
      <c r="H180" s="424">
        <v>25</v>
      </c>
      <c r="I180" s="425">
        <v>43.93</v>
      </c>
      <c r="J180" s="425">
        <v>2451.29</v>
      </c>
      <c r="K180" s="421">
        <f t="shared" si="2"/>
        <v>4.1300975557520292E-4</v>
      </c>
    </row>
    <row r="181" spans="1:11" s="237" customFormat="1" ht="28.5">
      <c r="A181" s="422" t="s">
        <v>820</v>
      </c>
      <c r="B181" s="423" t="s">
        <v>1987</v>
      </c>
      <c r="C181" s="423" t="s">
        <v>1400</v>
      </c>
      <c r="D181" s="422" t="s">
        <v>1988</v>
      </c>
      <c r="E181" s="423" t="s">
        <v>1403</v>
      </c>
      <c r="F181" s="424">
        <v>3</v>
      </c>
      <c r="G181" s="425">
        <v>642.95000000000005</v>
      </c>
      <c r="H181" s="424">
        <v>25</v>
      </c>
      <c r="I181" s="425">
        <v>803.69</v>
      </c>
      <c r="J181" s="425">
        <v>2411.0700000000002</v>
      </c>
      <c r="K181" s="421">
        <f t="shared" si="2"/>
        <v>4.0623322062045071E-4</v>
      </c>
    </row>
    <row r="182" spans="1:11" s="237" customFormat="1" ht="42.75">
      <c r="A182" s="422" t="s">
        <v>1366</v>
      </c>
      <c r="B182" s="423" t="s">
        <v>1932</v>
      </c>
      <c r="C182" s="423" t="s">
        <v>1400</v>
      </c>
      <c r="D182" s="422" t="s">
        <v>1933</v>
      </c>
      <c r="E182" s="423" t="s">
        <v>1403</v>
      </c>
      <c r="F182" s="424">
        <v>180</v>
      </c>
      <c r="G182" s="425">
        <v>10.69</v>
      </c>
      <c r="H182" s="424">
        <v>25</v>
      </c>
      <c r="I182" s="425">
        <v>13.36</v>
      </c>
      <c r="J182" s="425">
        <v>2404.8000000000002</v>
      </c>
      <c r="K182" s="421">
        <f t="shared" si="2"/>
        <v>4.0517680903004054E-4</v>
      </c>
    </row>
    <row r="183" spans="1:11" s="237" customFormat="1" ht="28.5">
      <c r="A183" s="422" t="s">
        <v>507</v>
      </c>
      <c r="B183" s="423" t="s">
        <v>1612</v>
      </c>
      <c r="C183" s="423" t="s">
        <v>1400</v>
      </c>
      <c r="D183" s="422" t="s">
        <v>1613</v>
      </c>
      <c r="E183" s="423" t="s">
        <v>1416</v>
      </c>
      <c r="F183" s="424">
        <v>314.14</v>
      </c>
      <c r="G183" s="425">
        <v>6.12</v>
      </c>
      <c r="H183" s="424">
        <v>25</v>
      </c>
      <c r="I183" s="425">
        <v>7.65</v>
      </c>
      <c r="J183" s="425">
        <v>2403.17</v>
      </c>
      <c r="K183" s="421">
        <f t="shared" si="2"/>
        <v>4.0490217571387325E-4</v>
      </c>
    </row>
    <row r="184" spans="1:11" s="237" customFormat="1" ht="42.75">
      <c r="A184" s="422" t="s">
        <v>787</v>
      </c>
      <c r="B184" s="423" t="s">
        <v>1940</v>
      </c>
      <c r="C184" s="423" t="s">
        <v>1400</v>
      </c>
      <c r="D184" s="422" t="s">
        <v>1941</v>
      </c>
      <c r="E184" s="423" t="s">
        <v>1416</v>
      </c>
      <c r="F184" s="424">
        <v>283.39999999999998</v>
      </c>
      <c r="G184" s="425">
        <v>6.71</v>
      </c>
      <c r="H184" s="424">
        <v>25</v>
      </c>
      <c r="I184" s="425">
        <v>8.39</v>
      </c>
      <c r="J184" s="425">
        <v>2377.73</v>
      </c>
      <c r="K184" s="421">
        <f t="shared" si="2"/>
        <v>4.0061587414129998E-4</v>
      </c>
    </row>
    <row r="185" spans="1:11" s="237" customFormat="1" ht="42.75">
      <c r="A185" s="422" t="s">
        <v>864</v>
      </c>
      <c r="B185" s="423" t="s">
        <v>2021</v>
      </c>
      <c r="C185" s="423" t="s">
        <v>1400</v>
      </c>
      <c r="D185" s="422" t="s">
        <v>2022</v>
      </c>
      <c r="E185" s="423" t="s">
        <v>1416</v>
      </c>
      <c r="F185" s="424">
        <v>91.7</v>
      </c>
      <c r="G185" s="425">
        <v>20.440000000000001</v>
      </c>
      <c r="H185" s="424">
        <v>25</v>
      </c>
      <c r="I185" s="425">
        <v>25.55</v>
      </c>
      <c r="J185" s="425">
        <v>2342.94</v>
      </c>
      <c r="K185" s="421">
        <f t="shared" si="2"/>
        <v>3.9475422195144841E-4</v>
      </c>
    </row>
    <row r="186" spans="1:11" s="237" customFormat="1" ht="42.75">
      <c r="A186" s="422" t="s">
        <v>400</v>
      </c>
      <c r="B186" s="423" t="s">
        <v>1542</v>
      </c>
      <c r="C186" s="423" t="s">
        <v>1400</v>
      </c>
      <c r="D186" s="422" t="s">
        <v>1543</v>
      </c>
      <c r="E186" s="423" t="s">
        <v>1422</v>
      </c>
      <c r="F186" s="424">
        <v>12.24</v>
      </c>
      <c r="G186" s="425">
        <v>148.31</v>
      </c>
      <c r="H186" s="424">
        <v>25</v>
      </c>
      <c r="I186" s="425">
        <v>185.39</v>
      </c>
      <c r="J186" s="425">
        <v>2269.17</v>
      </c>
      <c r="K186" s="421">
        <f t="shared" si="2"/>
        <v>3.8232495831116807E-4</v>
      </c>
    </row>
    <row r="187" spans="1:11" s="237" customFormat="1" ht="42.75">
      <c r="A187" s="422" t="s">
        <v>603</v>
      </c>
      <c r="B187" s="423" t="s">
        <v>1719</v>
      </c>
      <c r="C187" s="423" t="s">
        <v>1400</v>
      </c>
      <c r="D187" s="422" t="s">
        <v>1720</v>
      </c>
      <c r="E187" s="423" t="s">
        <v>1416</v>
      </c>
      <c r="F187" s="424">
        <v>69.59</v>
      </c>
      <c r="G187" s="425">
        <v>25.95</v>
      </c>
      <c r="H187" s="424">
        <v>25</v>
      </c>
      <c r="I187" s="425">
        <v>32.44</v>
      </c>
      <c r="J187" s="425">
        <v>2257.5</v>
      </c>
      <c r="K187" s="421">
        <f t="shared" si="2"/>
        <v>3.8035871855676831E-4</v>
      </c>
    </row>
    <row r="188" spans="1:11" s="237" customFormat="1" ht="42.75">
      <c r="A188" s="422" t="s">
        <v>690</v>
      </c>
      <c r="B188" s="423" t="s">
        <v>1857</v>
      </c>
      <c r="C188" s="423" t="s">
        <v>1400</v>
      </c>
      <c r="D188" s="422" t="s">
        <v>1858</v>
      </c>
      <c r="E188" s="423" t="s">
        <v>1403</v>
      </c>
      <c r="F188" s="424">
        <v>6</v>
      </c>
      <c r="G188" s="425">
        <v>300.79000000000002</v>
      </c>
      <c r="H188" s="424">
        <v>25</v>
      </c>
      <c r="I188" s="425">
        <v>375.99</v>
      </c>
      <c r="J188" s="425">
        <v>2255.94</v>
      </c>
      <c r="K188" s="421">
        <f t="shared" si="2"/>
        <v>3.8009587930939353E-4</v>
      </c>
    </row>
    <row r="189" spans="1:11" s="237" customFormat="1" ht="57">
      <c r="A189" s="422" t="s">
        <v>1374</v>
      </c>
      <c r="B189" s="423" t="s">
        <v>1952</v>
      </c>
      <c r="C189" s="423" t="s">
        <v>1400</v>
      </c>
      <c r="D189" s="422" t="s">
        <v>1953</v>
      </c>
      <c r="E189" s="423" t="s">
        <v>1416</v>
      </c>
      <c r="F189" s="424">
        <v>35.28</v>
      </c>
      <c r="G189" s="425">
        <v>50.62</v>
      </c>
      <c r="H189" s="424">
        <v>25</v>
      </c>
      <c r="I189" s="425">
        <v>63.28</v>
      </c>
      <c r="J189" s="425">
        <v>2232.52</v>
      </c>
      <c r="K189" s="421">
        <f t="shared" si="2"/>
        <v>3.7614992086483116E-4</v>
      </c>
    </row>
    <row r="190" spans="1:11" s="237" customFormat="1" ht="42.75">
      <c r="A190" s="422" t="s">
        <v>1388</v>
      </c>
      <c r="B190" s="423" t="s">
        <v>1380</v>
      </c>
      <c r="C190" s="423" t="s">
        <v>1099</v>
      </c>
      <c r="D190" s="422" t="s">
        <v>1379</v>
      </c>
      <c r="E190" s="423" t="s">
        <v>1403</v>
      </c>
      <c r="F190" s="424">
        <v>20</v>
      </c>
      <c r="G190" s="425">
        <v>89.03</v>
      </c>
      <c r="H190" s="424">
        <v>25</v>
      </c>
      <c r="I190" s="425">
        <v>111.29</v>
      </c>
      <c r="J190" s="425">
        <v>2225.8000000000002</v>
      </c>
      <c r="K190" s="421">
        <f t="shared" si="2"/>
        <v>3.7501769026075524E-4</v>
      </c>
    </row>
    <row r="191" spans="1:11" s="237" customFormat="1" ht="57">
      <c r="A191" s="422" t="s">
        <v>718</v>
      </c>
      <c r="B191" s="423" t="s">
        <v>1873</v>
      </c>
      <c r="C191" s="423" t="s">
        <v>1400</v>
      </c>
      <c r="D191" s="422" t="s">
        <v>1874</v>
      </c>
      <c r="E191" s="423" t="s">
        <v>1403</v>
      </c>
      <c r="F191" s="424">
        <v>21</v>
      </c>
      <c r="G191" s="425">
        <v>83.81</v>
      </c>
      <c r="H191" s="424">
        <v>25</v>
      </c>
      <c r="I191" s="425">
        <v>104.76</v>
      </c>
      <c r="J191" s="425">
        <v>2199.96</v>
      </c>
      <c r="K191" s="421">
        <f t="shared" si="2"/>
        <v>3.706639940093679E-4</v>
      </c>
    </row>
    <row r="192" spans="1:11" s="237" customFormat="1" ht="57">
      <c r="A192" s="422" t="s">
        <v>658</v>
      </c>
      <c r="B192" s="423" t="s">
        <v>1779</v>
      </c>
      <c r="C192" s="423" t="s">
        <v>1396</v>
      </c>
      <c r="D192" s="422" t="s">
        <v>1780</v>
      </c>
      <c r="E192" s="423" t="s">
        <v>1403</v>
      </c>
      <c r="F192" s="424">
        <v>4</v>
      </c>
      <c r="G192" s="425">
        <v>439.91</v>
      </c>
      <c r="H192" s="424">
        <v>25</v>
      </c>
      <c r="I192" s="425">
        <v>549.89</v>
      </c>
      <c r="J192" s="425">
        <v>2199.56</v>
      </c>
      <c r="K192" s="421">
        <f t="shared" si="2"/>
        <v>3.7059659933055383E-4</v>
      </c>
    </row>
    <row r="193" spans="1:11" s="237" customFormat="1" ht="42.75">
      <c r="A193" s="422" t="s">
        <v>760</v>
      </c>
      <c r="B193" s="423" t="s">
        <v>1916</v>
      </c>
      <c r="C193" s="423" t="s">
        <v>1400</v>
      </c>
      <c r="D193" s="422" t="s">
        <v>1917</v>
      </c>
      <c r="E193" s="423" t="s">
        <v>1416</v>
      </c>
      <c r="F193" s="424">
        <v>62.41</v>
      </c>
      <c r="G193" s="425">
        <v>28.13</v>
      </c>
      <c r="H193" s="424">
        <v>25</v>
      </c>
      <c r="I193" s="425">
        <v>35.159999999999997</v>
      </c>
      <c r="J193" s="425">
        <v>2194.34</v>
      </c>
      <c r="K193" s="421">
        <f t="shared" si="2"/>
        <v>3.6971709877203058E-4</v>
      </c>
    </row>
    <row r="194" spans="1:11" s="237" customFormat="1" ht="42.75">
      <c r="A194" s="422" t="s">
        <v>196</v>
      </c>
      <c r="B194" s="423" t="s">
        <v>1060</v>
      </c>
      <c r="C194" s="423" t="s">
        <v>1396</v>
      </c>
      <c r="D194" s="422" t="s">
        <v>277</v>
      </c>
      <c r="E194" s="423" t="s">
        <v>1416</v>
      </c>
      <c r="F194" s="424">
        <v>7.2</v>
      </c>
      <c r="G194" s="425">
        <v>237.53</v>
      </c>
      <c r="H194" s="424">
        <v>25</v>
      </c>
      <c r="I194" s="425">
        <v>296.91000000000003</v>
      </c>
      <c r="J194" s="425">
        <v>2137.75</v>
      </c>
      <c r="K194" s="421">
        <f t="shared" si="2"/>
        <v>3.6018243658681348E-4</v>
      </c>
    </row>
    <row r="195" spans="1:11" s="237" customFormat="1" ht="42.75">
      <c r="A195" s="422" t="s">
        <v>791</v>
      </c>
      <c r="B195" s="423" t="s">
        <v>1944</v>
      </c>
      <c r="C195" s="423" t="s">
        <v>1400</v>
      </c>
      <c r="D195" s="422" t="s">
        <v>1945</v>
      </c>
      <c r="E195" s="423" t="s">
        <v>1416</v>
      </c>
      <c r="F195" s="424">
        <v>103.8</v>
      </c>
      <c r="G195" s="425">
        <v>16.28</v>
      </c>
      <c r="H195" s="424">
        <v>25</v>
      </c>
      <c r="I195" s="425">
        <v>20.350000000000001</v>
      </c>
      <c r="J195" s="425">
        <v>2112.33</v>
      </c>
      <c r="K195" s="421">
        <f t="shared" si="2"/>
        <v>3.5589950474818088E-4</v>
      </c>
    </row>
    <row r="196" spans="1:11" s="237" customFormat="1" ht="42.75">
      <c r="A196" s="422" t="s">
        <v>1353</v>
      </c>
      <c r="B196" s="423" t="s">
        <v>1793</v>
      </c>
      <c r="C196" s="423" t="s">
        <v>1400</v>
      </c>
      <c r="D196" s="422" t="s">
        <v>1794</v>
      </c>
      <c r="E196" s="423" t="s">
        <v>1416</v>
      </c>
      <c r="F196" s="424">
        <v>10.9</v>
      </c>
      <c r="G196" s="425">
        <v>152.94</v>
      </c>
      <c r="H196" s="424">
        <v>25</v>
      </c>
      <c r="I196" s="425">
        <v>191.18</v>
      </c>
      <c r="J196" s="425">
        <v>2083.86</v>
      </c>
      <c r="K196" s="421">
        <f t="shared" si="2"/>
        <v>3.5110268848359126E-4</v>
      </c>
    </row>
    <row r="197" spans="1:11" s="237" customFormat="1" ht="42.75">
      <c r="A197" s="422" t="s">
        <v>839</v>
      </c>
      <c r="B197" s="423" t="s">
        <v>1928</v>
      </c>
      <c r="C197" s="423" t="s">
        <v>1400</v>
      </c>
      <c r="D197" s="422" t="s">
        <v>1929</v>
      </c>
      <c r="E197" s="423" t="s">
        <v>1403</v>
      </c>
      <c r="F197" s="424">
        <v>90</v>
      </c>
      <c r="G197" s="425">
        <v>17.46</v>
      </c>
      <c r="H197" s="424">
        <v>25</v>
      </c>
      <c r="I197" s="425">
        <v>21.83</v>
      </c>
      <c r="J197" s="425">
        <v>1964.7</v>
      </c>
      <c r="K197" s="421">
        <f t="shared" si="2"/>
        <v>3.3102581366488713E-4</v>
      </c>
    </row>
    <row r="198" spans="1:11" s="237" customFormat="1" ht="42.75">
      <c r="A198" s="422" t="s">
        <v>836</v>
      </c>
      <c r="B198" s="423" t="s">
        <v>1914</v>
      </c>
      <c r="C198" s="423" t="s">
        <v>1400</v>
      </c>
      <c r="D198" s="422" t="s">
        <v>1915</v>
      </c>
      <c r="E198" s="423" t="s">
        <v>1416</v>
      </c>
      <c r="F198" s="424">
        <v>69.78</v>
      </c>
      <c r="G198" s="425">
        <v>22.33</v>
      </c>
      <c r="H198" s="424">
        <v>25</v>
      </c>
      <c r="I198" s="425">
        <v>27.91</v>
      </c>
      <c r="J198" s="425">
        <v>1947.56</v>
      </c>
      <c r="K198" s="421">
        <f t="shared" si="2"/>
        <v>3.2813795167770527E-4</v>
      </c>
    </row>
    <row r="199" spans="1:11" s="237" customFormat="1" ht="42.75">
      <c r="A199" s="422" t="s">
        <v>880</v>
      </c>
      <c r="B199" s="423" t="s">
        <v>2043</v>
      </c>
      <c r="C199" s="423" t="s">
        <v>1400</v>
      </c>
      <c r="D199" s="422" t="s">
        <v>2044</v>
      </c>
      <c r="E199" s="423" t="s">
        <v>1452</v>
      </c>
      <c r="F199" s="424">
        <v>94.09</v>
      </c>
      <c r="G199" s="425">
        <v>16.48</v>
      </c>
      <c r="H199" s="424">
        <v>25</v>
      </c>
      <c r="I199" s="425">
        <v>20.6</v>
      </c>
      <c r="J199" s="425">
        <v>1938.25</v>
      </c>
      <c r="K199" s="421">
        <f t="shared" si="2"/>
        <v>3.2656934052830837E-4</v>
      </c>
    </row>
    <row r="200" spans="1:11" s="237" customFormat="1" ht="42.75">
      <c r="A200" s="422" t="s">
        <v>444</v>
      </c>
      <c r="B200" s="423" t="s">
        <v>2035</v>
      </c>
      <c r="C200" s="423" t="s">
        <v>1400</v>
      </c>
      <c r="D200" s="422" t="s">
        <v>2036</v>
      </c>
      <c r="E200" s="423" t="s">
        <v>1422</v>
      </c>
      <c r="F200" s="424">
        <v>2.88</v>
      </c>
      <c r="G200" s="425">
        <v>531.03</v>
      </c>
      <c r="H200" s="424">
        <v>25</v>
      </c>
      <c r="I200" s="425">
        <v>663.79</v>
      </c>
      <c r="J200" s="425">
        <v>1911.72</v>
      </c>
      <c r="K200" s="421">
        <f t="shared" si="2"/>
        <v>3.2209938845596684E-4</v>
      </c>
    </row>
    <row r="201" spans="1:11" s="237" customFormat="1" ht="28.5">
      <c r="A201" s="422" t="s">
        <v>415</v>
      </c>
      <c r="B201" s="423" t="s">
        <v>1112</v>
      </c>
      <c r="C201" s="423" t="s">
        <v>1396</v>
      </c>
      <c r="D201" s="422" t="s">
        <v>1077</v>
      </c>
      <c r="E201" s="423" t="s">
        <v>1398</v>
      </c>
      <c r="F201" s="424">
        <v>9</v>
      </c>
      <c r="G201" s="425">
        <v>166.68</v>
      </c>
      <c r="H201" s="424">
        <v>25</v>
      </c>
      <c r="I201" s="425">
        <v>208.35</v>
      </c>
      <c r="J201" s="425">
        <v>1875.15</v>
      </c>
      <c r="K201" s="421">
        <f t="shared" si="2"/>
        <v>3.1593782994539276E-4</v>
      </c>
    </row>
    <row r="202" spans="1:11" s="237" customFormat="1" ht="57">
      <c r="A202" s="422" t="s">
        <v>729</v>
      </c>
      <c r="B202" s="423" t="s">
        <v>1709</v>
      </c>
      <c r="C202" s="423" t="s">
        <v>1400</v>
      </c>
      <c r="D202" s="422" t="s">
        <v>1710</v>
      </c>
      <c r="E202" s="423" t="s">
        <v>1403</v>
      </c>
      <c r="F202" s="424">
        <v>1</v>
      </c>
      <c r="G202" s="425">
        <v>1495.65</v>
      </c>
      <c r="H202" s="424">
        <v>25</v>
      </c>
      <c r="I202" s="425">
        <v>1869.56</v>
      </c>
      <c r="J202" s="425">
        <v>1869.56</v>
      </c>
      <c r="K202" s="421">
        <f t="shared" si="2"/>
        <v>3.1499598930896644E-4</v>
      </c>
    </row>
    <row r="203" spans="1:11" s="237" customFormat="1" ht="14.25">
      <c r="A203" s="422" t="s">
        <v>197</v>
      </c>
      <c r="B203" s="423" t="s">
        <v>894</v>
      </c>
      <c r="C203" s="423" t="s">
        <v>1396</v>
      </c>
      <c r="D203" s="422" t="s">
        <v>895</v>
      </c>
      <c r="E203" s="423" t="s">
        <v>1416</v>
      </c>
      <c r="F203" s="424">
        <v>19</v>
      </c>
      <c r="G203" s="425">
        <v>78.31</v>
      </c>
      <c r="H203" s="424">
        <v>25</v>
      </c>
      <c r="I203" s="425">
        <v>97.89</v>
      </c>
      <c r="J203" s="425">
        <v>1859.91</v>
      </c>
      <c r="K203" s="421">
        <f t="shared" si="2"/>
        <v>3.1337009268257764E-4</v>
      </c>
    </row>
    <row r="204" spans="1:11" s="237" customFormat="1" ht="42.75">
      <c r="A204" s="422" t="s">
        <v>175</v>
      </c>
      <c r="B204" s="423" t="s">
        <v>1817</v>
      </c>
      <c r="C204" s="423" t="s">
        <v>1400</v>
      </c>
      <c r="D204" s="422" t="s">
        <v>1818</v>
      </c>
      <c r="E204" s="423" t="s">
        <v>1403</v>
      </c>
      <c r="F204" s="424">
        <v>21</v>
      </c>
      <c r="G204" s="425">
        <v>70.849999999999994</v>
      </c>
      <c r="H204" s="424">
        <v>25</v>
      </c>
      <c r="I204" s="425">
        <v>88.56</v>
      </c>
      <c r="J204" s="425">
        <v>1859.76</v>
      </c>
      <c r="K204" s="421">
        <f t="shared" si="2"/>
        <v>3.1334481967802236E-4</v>
      </c>
    </row>
    <row r="205" spans="1:11" s="237" customFormat="1" ht="42.75">
      <c r="A205" s="422" t="s">
        <v>638</v>
      </c>
      <c r="B205" s="423" t="s">
        <v>1758</v>
      </c>
      <c r="C205" s="423" t="s">
        <v>1400</v>
      </c>
      <c r="D205" s="422" t="s">
        <v>1759</v>
      </c>
      <c r="E205" s="423" t="s">
        <v>1403</v>
      </c>
      <c r="F205" s="424">
        <v>73</v>
      </c>
      <c r="G205" s="425">
        <v>19.73</v>
      </c>
      <c r="H205" s="424">
        <v>25</v>
      </c>
      <c r="I205" s="425">
        <v>24.66</v>
      </c>
      <c r="J205" s="425">
        <v>1800.18</v>
      </c>
      <c r="K205" s="421">
        <f t="shared" si="2"/>
        <v>3.0330638226867032E-4</v>
      </c>
    </row>
    <row r="206" spans="1:11" s="237" customFormat="1" ht="42.75">
      <c r="A206" s="422" t="s">
        <v>958</v>
      </c>
      <c r="B206" s="423" t="s">
        <v>993</v>
      </c>
      <c r="C206" s="423" t="s">
        <v>1099</v>
      </c>
      <c r="D206" s="422" t="s">
        <v>2025</v>
      </c>
      <c r="E206" s="423" t="s">
        <v>1403</v>
      </c>
      <c r="F206" s="424">
        <v>1</v>
      </c>
      <c r="G206" s="425">
        <v>1396.74</v>
      </c>
      <c r="H206" s="424">
        <v>25</v>
      </c>
      <c r="I206" s="425">
        <v>1745.93</v>
      </c>
      <c r="J206" s="425">
        <v>1745.93</v>
      </c>
      <c r="K206" s="421">
        <f t="shared" si="2"/>
        <v>2.9416597895451542E-4</v>
      </c>
    </row>
    <row r="207" spans="1:11" s="237" customFormat="1" ht="42.75">
      <c r="A207" s="422" t="s">
        <v>330</v>
      </c>
      <c r="B207" s="423" t="s">
        <v>1457</v>
      </c>
      <c r="C207" s="423" t="s">
        <v>1400</v>
      </c>
      <c r="D207" s="422" t="s">
        <v>1458</v>
      </c>
      <c r="E207" s="423" t="s">
        <v>1452</v>
      </c>
      <c r="F207" s="424">
        <v>113.95</v>
      </c>
      <c r="G207" s="425">
        <v>12.03</v>
      </c>
      <c r="H207" s="424">
        <v>25</v>
      </c>
      <c r="I207" s="425">
        <v>15.04</v>
      </c>
      <c r="J207" s="425">
        <v>1713.81</v>
      </c>
      <c r="K207" s="421">
        <f t="shared" ref="K207:K270" si="3">J207/$J$436</f>
        <v>2.8875418624574756E-4</v>
      </c>
    </row>
    <row r="208" spans="1:11" s="237" customFormat="1" ht="42.75">
      <c r="A208" s="422" t="s">
        <v>1367</v>
      </c>
      <c r="B208" s="423" t="s">
        <v>1936</v>
      </c>
      <c r="C208" s="423" t="s">
        <v>1400</v>
      </c>
      <c r="D208" s="422" t="s">
        <v>1937</v>
      </c>
      <c r="E208" s="423" t="s">
        <v>1416</v>
      </c>
      <c r="F208" s="424">
        <v>433.74</v>
      </c>
      <c r="G208" s="425">
        <v>3.12</v>
      </c>
      <c r="H208" s="424">
        <v>25</v>
      </c>
      <c r="I208" s="425">
        <v>3.9</v>
      </c>
      <c r="J208" s="425">
        <v>1691.59</v>
      </c>
      <c r="K208" s="421">
        <f t="shared" si="3"/>
        <v>2.850104118376273E-4</v>
      </c>
    </row>
    <row r="209" spans="1:11" s="237" customFormat="1" ht="42.75">
      <c r="A209" s="422" t="s">
        <v>860</v>
      </c>
      <c r="B209" s="423" t="s">
        <v>1001</v>
      </c>
      <c r="C209" s="423" t="s">
        <v>1099</v>
      </c>
      <c r="D209" s="422" t="s">
        <v>2018</v>
      </c>
      <c r="E209" s="423" t="s">
        <v>1403</v>
      </c>
      <c r="F209" s="424">
        <v>55</v>
      </c>
      <c r="G209" s="425">
        <v>24.53</v>
      </c>
      <c r="H209" s="424">
        <v>25</v>
      </c>
      <c r="I209" s="425">
        <v>30.66</v>
      </c>
      <c r="J209" s="425">
        <v>1686.3</v>
      </c>
      <c r="K209" s="421">
        <f t="shared" si="3"/>
        <v>2.841191172103116E-4</v>
      </c>
    </row>
    <row r="210" spans="1:11" s="237" customFormat="1" ht="42.75">
      <c r="A210" s="422" t="s">
        <v>562</v>
      </c>
      <c r="B210" s="423" t="s">
        <v>1662</v>
      </c>
      <c r="C210" s="423" t="s">
        <v>1400</v>
      </c>
      <c r="D210" s="422" t="s">
        <v>1663</v>
      </c>
      <c r="E210" s="423" t="s">
        <v>1403</v>
      </c>
      <c r="F210" s="424">
        <v>70</v>
      </c>
      <c r="G210" s="425">
        <v>19.100000000000001</v>
      </c>
      <c r="H210" s="424">
        <v>25</v>
      </c>
      <c r="I210" s="425">
        <v>23.88</v>
      </c>
      <c r="J210" s="425">
        <v>1671.6</v>
      </c>
      <c r="K210" s="421">
        <f t="shared" si="3"/>
        <v>2.8164236276389539E-4</v>
      </c>
    </row>
    <row r="211" spans="1:11" s="237" customFormat="1" ht="28.5">
      <c r="A211" s="422" t="s">
        <v>845</v>
      </c>
      <c r="B211" s="423" t="s">
        <v>2001</v>
      </c>
      <c r="C211" s="423" t="s">
        <v>1400</v>
      </c>
      <c r="D211" s="422" t="s">
        <v>2002</v>
      </c>
      <c r="E211" s="423" t="s">
        <v>1403</v>
      </c>
      <c r="F211" s="424">
        <v>18</v>
      </c>
      <c r="G211" s="425">
        <v>73.44</v>
      </c>
      <c r="H211" s="424">
        <v>25</v>
      </c>
      <c r="I211" s="425">
        <v>91.8</v>
      </c>
      <c r="J211" s="425">
        <v>1652.4</v>
      </c>
      <c r="K211" s="421">
        <f t="shared" si="3"/>
        <v>2.7840741818082124E-4</v>
      </c>
    </row>
    <row r="212" spans="1:11" s="237" customFormat="1" ht="57">
      <c r="A212" s="422" t="s">
        <v>736</v>
      </c>
      <c r="B212" s="423" t="s">
        <v>1889</v>
      </c>
      <c r="C212" s="423" t="s">
        <v>1400</v>
      </c>
      <c r="D212" s="422" t="s">
        <v>1890</v>
      </c>
      <c r="E212" s="423" t="s">
        <v>1403</v>
      </c>
      <c r="F212" s="424">
        <v>1</v>
      </c>
      <c r="G212" s="425">
        <v>1305.74</v>
      </c>
      <c r="H212" s="424">
        <v>25</v>
      </c>
      <c r="I212" s="425">
        <v>1632.18</v>
      </c>
      <c r="J212" s="425">
        <v>1632.18</v>
      </c>
      <c r="K212" s="421">
        <f t="shared" si="3"/>
        <v>2.7500061716677126E-4</v>
      </c>
    </row>
    <row r="213" spans="1:11" s="237" customFormat="1" ht="28.5">
      <c r="A213" s="422" t="s">
        <v>694</v>
      </c>
      <c r="B213" s="423" t="s">
        <v>1861</v>
      </c>
      <c r="C213" s="423" t="s">
        <v>1400</v>
      </c>
      <c r="D213" s="422" t="s">
        <v>1862</v>
      </c>
      <c r="E213" s="423" t="s">
        <v>1403</v>
      </c>
      <c r="F213" s="424">
        <v>45</v>
      </c>
      <c r="G213" s="425">
        <v>28.72</v>
      </c>
      <c r="H213" s="424">
        <v>25</v>
      </c>
      <c r="I213" s="425">
        <v>35.9</v>
      </c>
      <c r="J213" s="425">
        <v>1615.5</v>
      </c>
      <c r="K213" s="421">
        <f t="shared" si="3"/>
        <v>2.7219025906022554E-4</v>
      </c>
    </row>
    <row r="214" spans="1:11" s="237" customFormat="1" ht="57">
      <c r="A214" s="422" t="s">
        <v>677</v>
      </c>
      <c r="B214" s="423" t="s">
        <v>1840</v>
      </c>
      <c r="C214" s="423" t="s">
        <v>1400</v>
      </c>
      <c r="D214" s="422" t="s">
        <v>1841</v>
      </c>
      <c r="E214" s="423" t="s">
        <v>1416</v>
      </c>
      <c r="F214" s="424">
        <v>29.63</v>
      </c>
      <c r="G214" s="425">
        <v>43.17</v>
      </c>
      <c r="H214" s="424">
        <v>25</v>
      </c>
      <c r="I214" s="425">
        <v>53.96</v>
      </c>
      <c r="J214" s="425">
        <v>1598.83</v>
      </c>
      <c r="K214" s="421">
        <f t="shared" si="3"/>
        <v>2.693815858206502E-4</v>
      </c>
    </row>
    <row r="215" spans="1:11" s="237" customFormat="1" ht="42.75">
      <c r="A215" s="422" t="s">
        <v>951</v>
      </c>
      <c r="B215" s="423" t="s">
        <v>1418</v>
      </c>
      <c r="C215" s="423" t="s">
        <v>1400</v>
      </c>
      <c r="D215" s="422" t="s">
        <v>1419</v>
      </c>
      <c r="E215" s="423" t="s">
        <v>1398</v>
      </c>
      <c r="F215" s="424">
        <v>2468.0300000000002</v>
      </c>
      <c r="G215" s="425">
        <v>0.51</v>
      </c>
      <c r="H215" s="424">
        <v>25</v>
      </c>
      <c r="I215" s="425">
        <v>0.64</v>
      </c>
      <c r="J215" s="425">
        <v>1579.54</v>
      </c>
      <c r="K215" s="421">
        <f t="shared" si="3"/>
        <v>2.6613147743484287E-4</v>
      </c>
    </row>
    <row r="216" spans="1:11" s="237" customFormat="1" ht="28.5">
      <c r="A216" s="422" t="s">
        <v>443</v>
      </c>
      <c r="B216" s="423" t="s">
        <v>1605</v>
      </c>
      <c r="C216" s="423" t="s">
        <v>1400</v>
      </c>
      <c r="D216" s="422" t="s">
        <v>1606</v>
      </c>
      <c r="E216" s="423" t="s">
        <v>1398</v>
      </c>
      <c r="F216" s="424">
        <v>12.92</v>
      </c>
      <c r="G216" s="425">
        <v>97.4</v>
      </c>
      <c r="H216" s="424">
        <v>25</v>
      </c>
      <c r="I216" s="425">
        <v>121.75</v>
      </c>
      <c r="J216" s="425">
        <v>1573.01</v>
      </c>
      <c r="K216" s="421">
        <f t="shared" si="3"/>
        <v>2.6503125930320357E-4</v>
      </c>
    </row>
    <row r="217" spans="1:11" s="237" customFormat="1" ht="42.75">
      <c r="A217" s="422" t="s">
        <v>805</v>
      </c>
      <c r="B217" s="423" t="s">
        <v>1964</v>
      </c>
      <c r="C217" s="423" t="s">
        <v>1400</v>
      </c>
      <c r="D217" s="422" t="s">
        <v>1965</v>
      </c>
      <c r="E217" s="423" t="s">
        <v>1403</v>
      </c>
      <c r="F217" s="424">
        <v>21</v>
      </c>
      <c r="G217" s="425">
        <v>55.73</v>
      </c>
      <c r="H217" s="424">
        <v>25</v>
      </c>
      <c r="I217" s="425">
        <v>69.66</v>
      </c>
      <c r="J217" s="425">
        <v>1462.86</v>
      </c>
      <c r="K217" s="421">
        <f t="shared" si="3"/>
        <v>2.4647244962478583E-4</v>
      </c>
    </row>
    <row r="218" spans="1:11" s="237" customFormat="1" ht="42.75">
      <c r="A218" s="422" t="s">
        <v>724</v>
      </c>
      <c r="B218" s="423" t="s">
        <v>1877</v>
      </c>
      <c r="C218" s="423" t="s">
        <v>1400</v>
      </c>
      <c r="D218" s="422" t="s">
        <v>1878</v>
      </c>
      <c r="E218" s="423" t="s">
        <v>1403</v>
      </c>
      <c r="F218" s="424">
        <v>5</v>
      </c>
      <c r="G218" s="425">
        <v>233.8</v>
      </c>
      <c r="H218" s="424">
        <v>25</v>
      </c>
      <c r="I218" s="425">
        <v>292.25</v>
      </c>
      <c r="J218" s="425">
        <v>1461.25</v>
      </c>
      <c r="K218" s="421">
        <f t="shared" si="3"/>
        <v>2.4620118604255932E-4</v>
      </c>
    </row>
    <row r="219" spans="1:11" s="237" customFormat="1" ht="42.75">
      <c r="A219" s="422" t="s">
        <v>305</v>
      </c>
      <c r="B219" s="423" t="s">
        <v>1835</v>
      </c>
      <c r="C219" s="423" t="s">
        <v>1400</v>
      </c>
      <c r="D219" s="422" t="s">
        <v>1836</v>
      </c>
      <c r="E219" s="423" t="s">
        <v>1403</v>
      </c>
      <c r="F219" s="424">
        <v>21</v>
      </c>
      <c r="G219" s="425">
        <v>55.56</v>
      </c>
      <c r="H219" s="424">
        <v>25</v>
      </c>
      <c r="I219" s="425">
        <v>69.45</v>
      </c>
      <c r="J219" s="425">
        <v>1458.45</v>
      </c>
      <c r="K219" s="421">
        <f t="shared" si="3"/>
        <v>2.45729423290861E-4</v>
      </c>
    </row>
    <row r="220" spans="1:11" s="237" customFormat="1" ht="42.75">
      <c r="A220" s="422" t="s">
        <v>857</v>
      </c>
      <c r="B220" s="423" t="s">
        <v>2015</v>
      </c>
      <c r="C220" s="423" t="s">
        <v>1400</v>
      </c>
      <c r="D220" s="422" t="s">
        <v>2016</v>
      </c>
      <c r="E220" s="423" t="s">
        <v>1403</v>
      </c>
      <c r="F220" s="424">
        <v>17</v>
      </c>
      <c r="G220" s="425">
        <v>67.959999999999994</v>
      </c>
      <c r="H220" s="424">
        <v>25</v>
      </c>
      <c r="I220" s="425">
        <v>84.95</v>
      </c>
      <c r="J220" s="425">
        <v>1444.15</v>
      </c>
      <c r="K220" s="421">
        <f t="shared" si="3"/>
        <v>2.4332006352325891E-4</v>
      </c>
    </row>
    <row r="221" spans="1:11" s="237" customFormat="1" ht="28.5">
      <c r="A221" s="422" t="s">
        <v>742</v>
      </c>
      <c r="B221" s="423" t="s">
        <v>1082</v>
      </c>
      <c r="C221" s="423" t="s">
        <v>1396</v>
      </c>
      <c r="D221" s="422" t="s">
        <v>1081</v>
      </c>
      <c r="E221" s="423" t="s">
        <v>1403</v>
      </c>
      <c r="F221" s="424">
        <v>7</v>
      </c>
      <c r="G221" s="425">
        <v>163.78</v>
      </c>
      <c r="H221" s="424">
        <v>25</v>
      </c>
      <c r="I221" s="425">
        <v>204.73</v>
      </c>
      <c r="J221" s="425">
        <v>1433.11</v>
      </c>
      <c r="K221" s="421">
        <f t="shared" si="3"/>
        <v>2.4145997038799123E-4</v>
      </c>
    </row>
    <row r="222" spans="1:11" s="237" customFormat="1" ht="42.75">
      <c r="A222" s="422" t="s">
        <v>302</v>
      </c>
      <c r="B222" s="423" t="s">
        <v>1828</v>
      </c>
      <c r="C222" s="423" t="s">
        <v>1400</v>
      </c>
      <c r="D222" s="422" t="s">
        <v>1829</v>
      </c>
      <c r="E222" s="423" t="s">
        <v>1403</v>
      </c>
      <c r="F222" s="424">
        <v>4</v>
      </c>
      <c r="G222" s="425">
        <v>283.29000000000002</v>
      </c>
      <c r="H222" s="424">
        <v>25</v>
      </c>
      <c r="I222" s="425">
        <v>354.11</v>
      </c>
      <c r="J222" s="425">
        <v>1416.44</v>
      </c>
      <c r="K222" s="421">
        <f t="shared" si="3"/>
        <v>2.3865129714841592E-4</v>
      </c>
    </row>
    <row r="223" spans="1:11" s="237" customFormat="1" ht="28.5">
      <c r="A223" s="422" t="s">
        <v>755</v>
      </c>
      <c r="B223" s="423" t="s">
        <v>1912</v>
      </c>
      <c r="C223" s="423" t="s">
        <v>1400</v>
      </c>
      <c r="D223" s="422" t="s">
        <v>1913</v>
      </c>
      <c r="E223" s="423" t="s">
        <v>1403</v>
      </c>
      <c r="F223" s="424">
        <v>1</v>
      </c>
      <c r="G223" s="425">
        <v>1126.5</v>
      </c>
      <c r="H223" s="424">
        <v>25</v>
      </c>
      <c r="I223" s="425">
        <v>1408.13</v>
      </c>
      <c r="J223" s="425">
        <v>1408.13</v>
      </c>
      <c r="K223" s="421">
        <f t="shared" si="3"/>
        <v>2.3725117269605414E-4</v>
      </c>
    </row>
    <row r="224" spans="1:11" s="237" customFormat="1" ht="28.5">
      <c r="A224" s="422" t="s">
        <v>511</v>
      </c>
      <c r="B224" s="423" t="s">
        <v>1616</v>
      </c>
      <c r="C224" s="423" t="s">
        <v>1400</v>
      </c>
      <c r="D224" s="422" t="s">
        <v>1617</v>
      </c>
      <c r="E224" s="423" t="s">
        <v>1416</v>
      </c>
      <c r="F224" s="424">
        <v>60.35</v>
      </c>
      <c r="G224" s="425">
        <v>18.37</v>
      </c>
      <c r="H224" s="424">
        <v>25</v>
      </c>
      <c r="I224" s="425">
        <v>22.96</v>
      </c>
      <c r="J224" s="425">
        <v>1385.64</v>
      </c>
      <c r="K224" s="421">
        <f t="shared" si="3"/>
        <v>2.3346190687973444E-4</v>
      </c>
    </row>
    <row r="225" spans="1:11" s="237" customFormat="1" ht="28.5">
      <c r="A225" s="422" t="s">
        <v>250</v>
      </c>
      <c r="B225" s="423" t="s">
        <v>1824</v>
      </c>
      <c r="C225" s="423" t="s">
        <v>1400</v>
      </c>
      <c r="D225" s="422" t="s">
        <v>1825</v>
      </c>
      <c r="E225" s="423" t="s">
        <v>1403</v>
      </c>
      <c r="F225" s="424">
        <v>17</v>
      </c>
      <c r="G225" s="425">
        <v>64.069999999999993</v>
      </c>
      <c r="H225" s="424">
        <v>25</v>
      </c>
      <c r="I225" s="425">
        <v>80.09</v>
      </c>
      <c r="J225" s="425">
        <v>1361.53</v>
      </c>
      <c r="K225" s="421">
        <f t="shared" si="3"/>
        <v>2.2939969261421783E-4</v>
      </c>
    </row>
    <row r="226" spans="1:11" s="237" customFormat="1" ht="42.75">
      <c r="A226" s="422" t="s">
        <v>336</v>
      </c>
      <c r="B226" s="423" t="s">
        <v>1463</v>
      </c>
      <c r="C226" s="423" t="s">
        <v>1400</v>
      </c>
      <c r="D226" s="422" t="s">
        <v>1464</v>
      </c>
      <c r="E226" s="423" t="s">
        <v>1422</v>
      </c>
      <c r="F226" s="424">
        <v>1.79</v>
      </c>
      <c r="G226" s="425">
        <v>605.94000000000005</v>
      </c>
      <c r="H226" s="424">
        <v>25</v>
      </c>
      <c r="I226" s="425">
        <v>757.43</v>
      </c>
      <c r="J226" s="425">
        <v>1355.8</v>
      </c>
      <c r="K226" s="421">
        <f t="shared" si="3"/>
        <v>2.2843426384020662E-4</v>
      </c>
    </row>
    <row r="227" spans="1:11" s="237" customFormat="1" ht="42.75">
      <c r="A227" s="422" t="s">
        <v>1345</v>
      </c>
      <c r="B227" s="423" t="s">
        <v>1716</v>
      </c>
      <c r="C227" s="423" t="s">
        <v>1400</v>
      </c>
      <c r="D227" s="422" t="s">
        <v>1717</v>
      </c>
      <c r="E227" s="423" t="s">
        <v>932</v>
      </c>
      <c r="F227" s="424">
        <v>6</v>
      </c>
      <c r="G227" s="425">
        <v>178.87</v>
      </c>
      <c r="H227" s="424">
        <v>25</v>
      </c>
      <c r="I227" s="425">
        <v>223.59</v>
      </c>
      <c r="J227" s="425">
        <v>1341.54</v>
      </c>
      <c r="K227" s="421">
        <f t="shared" si="3"/>
        <v>2.2603164354048592E-4</v>
      </c>
    </row>
    <row r="228" spans="1:11" s="237" customFormat="1" ht="28.5">
      <c r="A228" s="422" t="s">
        <v>414</v>
      </c>
      <c r="B228" s="423" t="s">
        <v>1577</v>
      </c>
      <c r="C228" s="423" t="s">
        <v>1400</v>
      </c>
      <c r="D228" s="422" t="s">
        <v>1578</v>
      </c>
      <c r="E228" s="423" t="s">
        <v>1403</v>
      </c>
      <c r="F228" s="424">
        <v>11</v>
      </c>
      <c r="G228" s="425">
        <v>96.99</v>
      </c>
      <c r="H228" s="424">
        <v>25</v>
      </c>
      <c r="I228" s="425">
        <v>121.24</v>
      </c>
      <c r="J228" s="425">
        <v>1333.64</v>
      </c>
      <c r="K228" s="421">
        <f t="shared" si="3"/>
        <v>2.2470059863390854E-4</v>
      </c>
    </row>
    <row r="229" spans="1:11" s="237" customFormat="1" ht="28.5">
      <c r="A229" s="422" t="s">
        <v>903</v>
      </c>
      <c r="B229" s="423" t="s">
        <v>1607</v>
      </c>
      <c r="C229" s="423" t="s">
        <v>1400</v>
      </c>
      <c r="D229" s="422" t="s">
        <v>1608</v>
      </c>
      <c r="E229" s="423" t="s">
        <v>1398</v>
      </c>
      <c r="F229" s="424">
        <v>13.38</v>
      </c>
      <c r="G229" s="425">
        <v>77.650000000000006</v>
      </c>
      <c r="H229" s="424">
        <v>25</v>
      </c>
      <c r="I229" s="425">
        <v>97.06</v>
      </c>
      <c r="J229" s="425">
        <v>1298.6600000000001</v>
      </c>
      <c r="K229" s="421">
        <f t="shared" si="3"/>
        <v>2.1880693397162028E-4</v>
      </c>
    </row>
    <row r="230" spans="1:11" s="237" customFormat="1" ht="42.75">
      <c r="A230" s="422" t="s">
        <v>722</v>
      </c>
      <c r="B230" s="423" t="s">
        <v>1875</v>
      </c>
      <c r="C230" s="423" t="s">
        <v>1400</v>
      </c>
      <c r="D230" s="422" t="s">
        <v>1876</v>
      </c>
      <c r="E230" s="423" t="s">
        <v>1403</v>
      </c>
      <c r="F230" s="424">
        <v>4</v>
      </c>
      <c r="G230" s="425">
        <v>258.51</v>
      </c>
      <c r="H230" s="424">
        <v>25</v>
      </c>
      <c r="I230" s="425">
        <v>323.14</v>
      </c>
      <c r="J230" s="425">
        <v>1292.56</v>
      </c>
      <c r="K230" s="421">
        <f t="shared" si="3"/>
        <v>2.1777916511970605E-4</v>
      </c>
    </row>
    <row r="231" spans="1:11" s="237" customFormat="1" ht="28.5">
      <c r="A231" s="422" t="s">
        <v>304</v>
      </c>
      <c r="B231" s="423" t="s">
        <v>182</v>
      </c>
      <c r="C231" s="423" t="s">
        <v>1396</v>
      </c>
      <c r="D231" s="422" t="s">
        <v>1834</v>
      </c>
      <c r="E231" s="423" t="s">
        <v>1403</v>
      </c>
      <c r="F231" s="424">
        <v>21</v>
      </c>
      <c r="G231" s="425">
        <v>48.85</v>
      </c>
      <c r="H231" s="424">
        <v>25</v>
      </c>
      <c r="I231" s="425">
        <v>61.06</v>
      </c>
      <c r="J231" s="425">
        <v>1282.26</v>
      </c>
      <c r="K231" s="421">
        <f t="shared" si="3"/>
        <v>2.1604375214024439E-4</v>
      </c>
    </row>
    <row r="232" spans="1:11" s="237" customFormat="1" ht="42.75">
      <c r="A232" s="422" t="s">
        <v>801</v>
      </c>
      <c r="B232" s="423" t="s">
        <v>1960</v>
      </c>
      <c r="C232" s="423" t="s">
        <v>1400</v>
      </c>
      <c r="D232" s="422" t="s">
        <v>1961</v>
      </c>
      <c r="E232" s="423" t="s">
        <v>1403</v>
      </c>
      <c r="F232" s="424">
        <v>25</v>
      </c>
      <c r="G232" s="425">
        <v>40.93</v>
      </c>
      <c r="H232" s="424">
        <v>25</v>
      </c>
      <c r="I232" s="425">
        <v>51.16</v>
      </c>
      <c r="J232" s="425">
        <v>1279</v>
      </c>
      <c r="K232" s="421">
        <f t="shared" si="3"/>
        <v>2.1549448550790994E-4</v>
      </c>
    </row>
    <row r="233" spans="1:11" s="237" customFormat="1" ht="42.75">
      <c r="A233" s="422" t="s">
        <v>248</v>
      </c>
      <c r="B233" s="423" t="s">
        <v>1821</v>
      </c>
      <c r="C233" s="423" t="s">
        <v>1400</v>
      </c>
      <c r="D233" s="422" t="s">
        <v>1822</v>
      </c>
      <c r="E233" s="423" t="s">
        <v>1403</v>
      </c>
      <c r="F233" s="424">
        <v>8</v>
      </c>
      <c r="G233" s="425">
        <v>123.03</v>
      </c>
      <c r="H233" s="424">
        <v>25</v>
      </c>
      <c r="I233" s="425">
        <v>153.79</v>
      </c>
      <c r="J233" s="425">
        <v>1230.32</v>
      </c>
      <c r="K233" s="421">
        <f t="shared" si="3"/>
        <v>2.0729255309624061E-4</v>
      </c>
    </row>
    <row r="234" spans="1:11" s="237" customFormat="1" ht="57">
      <c r="A234" s="422" t="s">
        <v>705</v>
      </c>
      <c r="B234" s="423" t="s">
        <v>1047</v>
      </c>
      <c r="C234" s="423" t="s">
        <v>1396</v>
      </c>
      <c r="D234" s="422" t="s">
        <v>1371</v>
      </c>
      <c r="E234" s="423" t="s">
        <v>1403</v>
      </c>
      <c r="F234" s="424">
        <v>18</v>
      </c>
      <c r="G234" s="425">
        <v>53.95</v>
      </c>
      <c r="H234" s="424">
        <v>25</v>
      </c>
      <c r="I234" s="425">
        <v>67.44</v>
      </c>
      <c r="J234" s="425">
        <v>1213.92</v>
      </c>
      <c r="K234" s="421">
        <f t="shared" si="3"/>
        <v>2.0452937126486478E-4</v>
      </c>
    </row>
    <row r="235" spans="1:11" s="237" customFormat="1" ht="42.75">
      <c r="A235" s="422" t="s">
        <v>592</v>
      </c>
      <c r="B235" s="423" t="s">
        <v>1691</v>
      </c>
      <c r="C235" s="423" t="s">
        <v>1400</v>
      </c>
      <c r="D235" s="422" t="s">
        <v>1692</v>
      </c>
      <c r="E235" s="423" t="s">
        <v>1403</v>
      </c>
      <c r="F235" s="424">
        <v>12</v>
      </c>
      <c r="G235" s="425">
        <v>80.45</v>
      </c>
      <c r="H235" s="424">
        <v>25</v>
      </c>
      <c r="I235" s="425">
        <v>100.56</v>
      </c>
      <c r="J235" s="425">
        <v>1206.72</v>
      </c>
      <c r="K235" s="421">
        <f t="shared" si="3"/>
        <v>2.0331626704621196E-4</v>
      </c>
    </row>
    <row r="236" spans="1:11" s="237" customFormat="1" ht="28.5">
      <c r="A236" s="422" t="s">
        <v>696</v>
      </c>
      <c r="B236" s="423" t="s">
        <v>1607</v>
      </c>
      <c r="C236" s="423" t="s">
        <v>1400</v>
      </c>
      <c r="D236" s="422" t="s">
        <v>1608</v>
      </c>
      <c r="E236" s="423" t="s">
        <v>1398</v>
      </c>
      <c r="F236" s="424">
        <v>11.99</v>
      </c>
      <c r="G236" s="425">
        <v>77.650000000000006</v>
      </c>
      <c r="H236" s="424">
        <v>25</v>
      </c>
      <c r="I236" s="425">
        <v>97.06</v>
      </c>
      <c r="J236" s="425">
        <v>1163.75</v>
      </c>
      <c r="K236" s="421">
        <f t="shared" si="3"/>
        <v>1.9607639367461312E-4</v>
      </c>
    </row>
    <row r="237" spans="1:11" s="237" customFormat="1" ht="28.5">
      <c r="A237" s="422" t="s">
        <v>1355</v>
      </c>
      <c r="B237" s="423" t="s">
        <v>1295</v>
      </c>
      <c r="C237" s="423" t="s">
        <v>1396</v>
      </c>
      <c r="D237" s="422" t="s">
        <v>1796</v>
      </c>
      <c r="E237" s="423" t="s">
        <v>1403</v>
      </c>
      <c r="F237" s="424">
        <v>10</v>
      </c>
      <c r="G237" s="425">
        <v>89.97</v>
      </c>
      <c r="H237" s="424">
        <v>25</v>
      </c>
      <c r="I237" s="425">
        <v>112.46</v>
      </c>
      <c r="J237" s="425">
        <v>1124.5999999999999</v>
      </c>
      <c r="K237" s="421">
        <f t="shared" si="3"/>
        <v>1.8948013948568842E-4</v>
      </c>
    </row>
    <row r="238" spans="1:11" s="237" customFormat="1" ht="28.5">
      <c r="A238" s="422" t="s">
        <v>200</v>
      </c>
      <c r="B238" s="423" t="s">
        <v>1432</v>
      </c>
      <c r="C238" s="423" t="s">
        <v>1400</v>
      </c>
      <c r="D238" s="422" t="s">
        <v>1433</v>
      </c>
      <c r="E238" s="423" t="s">
        <v>1398</v>
      </c>
      <c r="F238" s="424">
        <v>109.29</v>
      </c>
      <c r="G238" s="425">
        <v>8.15</v>
      </c>
      <c r="H238" s="424">
        <v>25</v>
      </c>
      <c r="I238" s="425">
        <v>10.19</v>
      </c>
      <c r="J238" s="425">
        <v>1113.67</v>
      </c>
      <c r="K238" s="421">
        <f t="shared" si="3"/>
        <v>1.8763857988709465E-4</v>
      </c>
    </row>
    <row r="239" spans="1:11" s="237" customFormat="1" ht="57">
      <c r="A239" s="422" t="s">
        <v>266</v>
      </c>
      <c r="B239" s="423" t="s">
        <v>1009</v>
      </c>
      <c r="C239" s="423" t="s">
        <v>1396</v>
      </c>
      <c r="D239" s="422" t="s">
        <v>1406</v>
      </c>
      <c r="E239" s="423" t="s">
        <v>1403</v>
      </c>
      <c r="F239" s="424">
        <v>1</v>
      </c>
      <c r="G239" s="425">
        <v>886.66</v>
      </c>
      <c r="H239" s="424">
        <v>25</v>
      </c>
      <c r="I239" s="425">
        <v>1108.33</v>
      </c>
      <c r="J239" s="425">
        <v>1108.33</v>
      </c>
      <c r="K239" s="421">
        <f t="shared" si="3"/>
        <v>1.8673886092492712E-4</v>
      </c>
    </row>
    <row r="240" spans="1:11" s="237" customFormat="1" ht="28.5">
      <c r="A240" s="422" t="s">
        <v>509</v>
      </c>
      <c r="B240" s="423" t="s">
        <v>1614</v>
      </c>
      <c r="C240" s="423" t="s">
        <v>1400</v>
      </c>
      <c r="D240" s="422" t="s">
        <v>1615</v>
      </c>
      <c r="E240" s="423" t="s">
        <v>1416</v>
      </c>
      <c r="F240" s="424">
        <v>72.819999999999993</v>
      </c>
      <c r="G240" s="425">
        <v>12.06</v>
      </c>
      <c r="H240" s="424">
        <v>25</v>
      </c>
      <c r="I240" s="425">
        <v>15.08</v>
      </c>
      <c r="J240" s="425">
        <v>1098.1300000000001</v>
      </c>
      <c r="K240" s="421">
        <f t="shared" si="3"/>
        <v>1.8502029661516902E-4</v>
      </c>
    </row>
    <row r="241" spans="1:11" s="237" customFormat="1" ht="57">
      <c r="A241" s="422" t="s">
        <v>856</v>
      </c>
      <c r="B241" s="423" t="s">
        <v>1057</v>
      </c>
      <c r="C241" s="423" t="s">
        <v>1099</v>
      </c>
      <c r="D241" s="422" t="s">
        <v>2014</v>
      </c>
      <c r="E241" s="423" t="s">
        <v>1403</v>
      </c>
      <c r="F241" s="424">
        <v>89</v>
      </c>
      <c r="G241" s="425">
        <v>9.7799999999999994</v>
      </c>
      <c r="H241" s="424">
        <v>25</v>
      </c>
      <c r="I241" s="425">
        <v>12.23</v>
      </c>
      <c r="J241" s="425">
        <v>1088.47</v>
      </c>
      <c r="K241" s="421">
        <f t="shared" si="3"/>
        <v>1.833927151218098E-4</v>
      </c>
    </row>
    <row r="242" spans="1:11" s="237" customFormat="1" ht="28.5">
      <c r="A242" s="422" t="s">
        <v>689</v>
      </c>
      <c r="B242" s="423" t="s">
        <v>1854</v>
      </c>
      <c r="C242" s="423" t="s">
        <v>1396</v>
      </c>
      <c r="D242" s="422" t="s">
        <v>1855</v>
      </c>
      <c r="E242" s="423" t="s">
        <v>1416</v>
      </c>
      <c r="F242" s="424">
        <v>50</v>
      </c>
      <c r="G242" s="425">
        <v>17.170000000000002</v>
      </c>
      <c r="H242" s="424">
        <v>25</v>
      </c>
      <c r="I242" s="425">
        <v>21.46</v>
      </c>
      <c r="J242" s="425">
        <v>1073</v>
      </c>
      <c r="K242" s="421">
        <f t="shared" si="3"/>
        <v>1.8078622591867659E-4</v>
      </c>
    </row>
    <row r="243" spans="1:11" s="237" customFormat="1" ht="57">
      <c r="A243" s="422" t="s">
        <v>1268</v>
      </c>
      <c r="B243" s="423" t="s">
        <v>1428</v>
      </c>
      <c r="C243" s="423" t="s">
        <v>1400</v>
      </c>
      <c r="D243" s="422" t="s">
        <v>1429</v>
      </c>
      <c r="E243" s="423" t="s">
        <v>1398</v>
      </c>
      <c r="F243" s="424">
        <v>970.41</v>
      </c>
      <c r="G243" s="425">
        <v>0.88</v>
      </c>
      <c r="H243" s="424">
        <v>25</v>
      </c>
      <c r="I243" s="425">
        <v>1.1000000000000001</v>
      </c>
      <c r="J243" s="425">
        <v>1067.45</v>
      </c>
      <c r="K243" s="421">
        <f t="shared" si="3"/>
        <v>1.7985112475013172E-4</v>
      </c>
    </row>
    <row r="244" spans="1:11" s="237" customFormat="1" ht="28.5">
      <c r="A244" s="422" t="s">
        <v>513</v>
      </c>
      <c r="B244" s="423" t="s">
        <v>1618</v>
      </c>
      <c r="C244" s="423" t="s">
        <v>1400</v>
      </c>
      <c r="D244" s="422" t="s">
        <v>1619</v>
      </c>
      <c r="E244" s="423" t="s">
        <v>1416</v>
      </c>
      <c r="F244" s="424">
        <v>41.91</v>
      </c>
      <c r="G244" s="425">
        <v>20.36</v>
      </c>
      <c r="H244" s="424">
        <v>25</v>
      </c>
      <c r="I244" s="425">
        <v>25.45</v>
      </c>
      <c r="J244" s="425">
        <v>1066.6099999999999</v>
      </c>
      <c r="K244" s="421">
        <f t="shared" si="3"/>
        <v>1.7970959592462219E-4</v>
      </c>
    </row>
    <row r="245" spans="1:11" s="237" customFormat="1" ht="28.5">
      <c r="A245" s="422" t="s">
        <v>827</v>
      </c>
      <c r="B245" s="423" t="s">
        <v>999</v>
      </c>
      <c r="C245" s="423" t="s">
        <v>1400</v>
      </c>
      <c r="D245" s="422" t="s">
        <v>1990</v>
      </c>
      <c r="E245" s="423" t="s">
        <v>1416</v>
      </c>
      <c r="F245" s="424">
        <v>127.75</v>
      </c>
      <c r="G245" s="425">
        <v>6.66</v>
      </c>
      <c r="H245" s="424">
        <v>25</v>
      </c>
      <c r="I245" s="425">
        <v>8.33</v>
      </c>
      <c r="J245" s="425">
        <v>1064.1600000000001</v>
      </c>
      <c r="K245" s="421">
        <f t="shared" si="3"/>
        <v>1.7929680351688621E-4</v>
      </c>
    </row>
    <row r="246" spans="1:11" s="237" customFormat="1" ht="42.75">
      <c r="A246" s="422" t="s">
        <v>809</v>
      </c>
      <c r="B246" s="423" t="s">
        <v>1968</v>
      </c>
      <c r="C246" s="423" t="s">
        <v>1400</v>
      </c>
      <c r="D246" s="422" t="s">
        <v>1969</v>
      </c>
      <c r="E246" s="423" t="s">
        <v>1403</v>
      </c>
      <c r="F246" s="424">
        <v>13</v>
      </c>
      <c r="G246" s="425">
        <v>65.180000000000007</v>
      </c>
      <c r="H246" s="424">
        <v>25</v>
      </c>
      <c r="I246" s="425">
        <v>81.48</v>
      </c>
      <c r="J246" s="425">
        <v>1059.24</v>
      </c>
      <c r="K246" s="421">
        <f t="shared" si="3"/>
        <v>1.7846784896747344E-4</v>
      </c>
    </row>
    <row r="247" spans="1:11" s="237" customFormat="1" ht="42.75">
      <c r="A247" s="422" t="s">
        <v>194</v>
      </c>
      <c r="B247" s="423" t="s">
        <v>2032</v>
      </c>
      <c r="C247" s="423" t="s">
        <v>1400</v>
      </c>
      <c r="D247" s="422" t="s">
        <v>2033</v>
      </c>
      <c r="E247" s="423" t="s">
        <v>1416</v>
      </c>
      <c r="F247" s="424">
        <v>5.13</v>
      </c>
      <c r="G247" s="425">
        <v>164.64</v>
      </c>
      <c r="H247" s="424">
        <v>25</v>
      </c>
      <c r="I247" s="425">
        <v>205.8</v>
      </c>
      <c r="J247" s="425">
        <v>1055.75</v>
      </c>
      <c r="K247" s="421">
        <f t="shared" si="3"/>
        <v>1.7787983039482089E-4</v>
      </c>
    </row>
    <row r="248" spans="1:11" s="237" customFormat="1" ht="42.75">
      <c r="A248" s="422" t="s">
        <v>692</v>
      </c>
      <c r="B248" s="423" t="s">
        <v>1859</v>
      </c>
      <c r="C248" s="423" t="s">
        <v>1400</v>
      </c>
      <c r="D248" s="422" t="s">
        <v>1860</v>
      </c>
      <c r="E248" s="423" t="s">
        <v>1403</v>
      </c>
      <c r="F248" s="424">
        <v>1</v>
      </c>
      <c r="G248" s="425">
        <v>840.79</v>
      </c>
      <c r="H248" s="424">
        <v>25</v>
      </c>
      <c r="I248" s="425">
        <v>1050.99</v>
      </c>
      <c r="J248" s="425">
        <v>1050.99</v>
      </c>
      <c r="K248" s="421">
        <f t="shared" si="3"/>
        <v>1.7707783371693375E-4</v>
      </c>
    </row>
    <row r="249" spans="1:11" s="237" customFormat="1" ht="57">
      <c r="A249" s="422" t="s">
        <v>902</v>
      </c>
      <c r="B249" s="423" t="s">
        <v>1579</v>
      </c>
      <c r="C249" s="423" t="s">
        <v>1400</v>
      </c>
      <c r="D249" s="422" t="s">
        <v>1580</v>
      </c>
      <c r="E249" s="423" t="s">
        <v>1403</v>
      </c>
      <c r="F249" s="424">
        <v>4</v>
      </c>
      <c r="G249" s="425">
        <v>209.64</v>
      </c>
      <c r="H249" s="424">
        <v>25</v>
      </c>
      <c r="I249" s="425">
        <v>262.05</v>
      </c>
      <c r="J249" s="425">
        <v>1048.2</v>
      </c>
      <c r="K249" s="421">
        <f t="shared" si="3"/>
        <v>1.7660775583220578E-4</v>
      </c>
    </row>
    <row r="250" spans="1:11" s="237" customFormat="1" ht="42.75">
      <c r="A250" s="422" t="s">
        <v>636</v>
      </c>
      <c r="B250" s="423" t="s">
        <v>1756</v>
      </c>
      <c r="C250" s="423" t="s">
        <v>1400</v>
      </c>
      <c r="D250" s="422" t="s">
        <v>1757</v>
      </c>
      <c r="E250" s="423" t="s">
        <v>1403</v>
      </c>
      <c r="F250" s="424">
        <v>48</v>
      </c>
      <c r="G250" s="425">
        <v>17.2</v>
      </c>
      <c r="H250" s="424">
        <v>25</v>
      </c>
      <c r="I250" s="425">
        <v>21.5</v>
      </c>
      <c r="J250" s="425">
        <v>1032</v>
      </c>
      <c r="K250" s="421">
        <f t="shared" si="3"/>
        <v>1.7387827134023693E-4</v>
      </c>
    </row>
    <row r="251" spans="1:11" s="237" customFormat="1" ht="57">
      <c r="A251" s="422" t="s">
        <v>409</v>
      </c>
      <c r="B251" s="423" t="s">
        <v>1428</v>
      </c>
      <c r="C251" s="423" t="s">
        <v>1400</v>
      </c>
      <c r="D251" s="422" t="s">
        <v>1429</v>
      </c>
      <c r="E251" s="423" t="s">
        <v>1398</v>
      </c>
      <c r="F251" s="424">
        <v>931.2</v>
      </c>
      <c r="G251" s="425">
        <v>0.88</v>
      </c>
      <c r="H251" s="424">
        <v>25</v>
      </c>
      <c r="I251" s="425">
        <v>1.1000000000000001</v>
      </c>
      <c r="J251" s="425">
        <v>1024.32</v>
      </c>
      <c r="K251" s="421">
        <f t="shared" si="3"/>
        <v>1.7258429350700726E-4</v>
      </c>
    </row>
    <row r="252" spans="1:11" s="237" customFormat="1" ht="28.5">
      <c r="A252" s="422" t="s">
        <v>853</v>
      </c>
      <c r="B252" s="423" t="s">
        <v>2010</v>
      </c>
      <c r="C252" s="423" t="s">
        <v>1400</v>
      </c>
      <c r="D252" s="422" t="s">
        <v>2011</v>
      </c>
      <c r="E252" s="423" t="s">
        <v>1403</v>
      </c>
      <c r="F252" s="424">
        <v>12</v>
      </c>
      <c r="G252" s="425">
        <v>67.239999999999995</v>
      </c>
      <c r="H252" s="424">
        <v>25</v>
      </c>
      <c r="I252" s="425">
        <v>84.05</v>
      </c>
      <c r="J252" s="425">
        <v>1008.6</v>
      </c>
      <c r="K252" s="421">
        <f t="shared" si="3"/>
        <v>1.6993568262961529E-4</v>
      </c>
    </row>
    <row r="253" spans="1:11" s="237" customFormat="1" ht="42.75">
      <c r="A253" s="422" t="s">
        <v>550</v>
      </c>
      <c r="B253" s="423" t="s">
        <v>674</v>
      </c>
      <c r="C253" s="423" t="s">
        <v>1400</v>
      </c>
      <c r="D253" s="422" t="s">
        <v>1651</v>
      </c>
      <c r="E253" s="423" t="s">
        <v>1403</v>
      </c>
      <c r="F253" s="424">
        <v>125</v>
      </c>
      <c r="G253" s="425">
        <v>6.42</v>
      </c>
      <c r="H253" s="424">
        <v>25</v>
      </c>
      <c r="I253" s="425">
        <v>8.0299999999999994</v>
      </c>
      <c r="J253" s="425">
        <v>1003.75</v>
      </c>
      <c r="K253" s="421">
        <f t="shared" si="3"/>
        <v>1.69118522148995E-4</v>
      </c>
    </row>
    <row r="254" spans="1:11" s="237" customFormat="1" ht="28.5">
      <c r="A254" s="422" t="s">
        <v>240</v>
      </c>
      <c r="B254" s="423" t="s">
        <v>1799</v>
      </c>
      <c r="C254" s="423" t="s">
        <v>1400</v>
      </c>
      <c r="D254" s="422" t="s">
        <v>1800</v>
      </c>
      <c r="E254" s="423" t="s">
        <v>1403</v>
      </c>
      <c r="F254" s="424">
        <v>8</v>
      </c>
      <c r="G254" s="425">
        <v>100.02</v>
      </c>
      <c r="H254" s="424">
        <v>25</v>
      </c>
      <c r="I254" s="425">
        <v>125.03</v>
      </c>
      <c r="J254" s="425">
        <v>1000.24</v>
      </c>
      <c r="K254" s="421">
        <f t="shared" si="3"/>
        <v>1.6852713384240176E-4</v>
      </c>
    </row>
    <row r="255" spans="1:11" s="237" customFormat="1" ht="28.5">
      <c r="A255" s="422" t="s">
        <v>243</v>
      </c>
      <c r="B255" s="423" t="s">
        <v>1805</v>
      </c>
      <c r="C255" s="423" t="s">
        <v>1400</v>
      </c>
      <c r="D255" s="422" t="s">
        <v>1806</v>
      </c>
      <c r="E255" s="423" t="s">
        <v>1403</v>
      </c>
      <c r="F255" s="424">
        <v>17</v>
      </c>
      <c r="G255" s="425">
        <v>45.32</v>
      </c>
      <c r="H255" s="424">
        <v>25</v>
      </c>
      <c r="I255" s="425">
        <v>56.65</v>
      </c>
      <c r="J255" s="425">
        <v>963.05</v>
      </c>
      <c r="K255" s="421">
        <f t="shared" si="3"/>
        <v>1.6226111357966588E-4</v>
      </c>
    </row>
    <row r="256" spans="1:11" s="237" customFormat="1" ht="28.5">
      <c r="A256" s="422" t="s">
        <v>830</v>
      </c>
      <c r="B256" s="423" t="s">
        <v>1991</v>
      </c>
      <c r="C256" s="423" t="s">
        <v>1400</v>
      </c>
      <c r="D256" s="422" t="s">
        <v>1992</v>
      </c>
      <c r="E256" s="423" t="s">
        <v>1403</v>
      </c>
      <c r="F256" s="424">
        <v>16</v>
      </c>
      <c r="G256" s="425">
        <v>48.1</v>
      </c>
      <c r="H256" s="424">
        <v>25</v>
      </c>
      <c r="I256" s="425">
        <v>60.13</v>
      </c>
      <c r="J256" s="425">
        <v>962.08</v>
      </c>
      <c r="K256" s="421">
        <f t="shared" si="3"/>
        <v>1.6209768148354182E-4</v>
      </c>
    </row>
    <row r="257" spans="1:11" s="237" customFormat="1" ht="28.5">
      <c r="A257" s="422" t="s">
        <v>195</v>
      </c>
      <c r="B257" s="423" t="s">
        <v>1059</v>
      </c>
      <c r="C257" s="423" t="s">
        <v>1396</v>
      </c>
      <c r="D257" s="422" t="s">
        <v>385</v>
      </c>
      <c r="E257" s="423" t="s">
        <v>1416</v>
      </c>
      <c r="F257" s="424">
        <v>6.5</v>
      </c>
      <c r="G257" s="425">
        <v>113.29</v>
      </c>
      <c r="H257" s="424">
        <v>25</v>
      </c>
      <c r="I257" s="425">
        <v>141.61000000000001</v>
      </c>
      <c r="J257" s="425">
        <v>920.47</v>
      </c>
      <c r="K257" s="421">
        <f t="shared" si="3"/>
        <v>1.5508695001991075E-4</v>
      </c>
    </row>
    <row r="258" spans="1:11" s="237" customFormat="1" ht="42.75">
      <c r="A258" s="422" t="s">
        <v>635</v>
      </c>
      <c r="B258" s="423" t="s">
        <v>1754</v>
      </c>
      <c r="C258" s="423" t="s">
        <v>1400</v>
      </c>
      <c r="D258" s="422" t="s">
        <v>1755</v>
      </c>
      <c r="E258" s="423" t="s">
        <v>1403</v>
      </c>
      <c r="F258" s="424">
        <v>67</v>
      </c>
      <c r="G258" s="425">
        <v>10.72</v>
      </c>
      <c r="H258" s="424">
        <v>25</v>
      </c>
      <c r="I258" s="425">
        <v>13.4</v>
      </c>
      <c r="J258" s="425">
        <v>897.8</v>
      </c>
      <c r="K258" s="421">
        <f t="shared" si="3"/>
        <v>1.5126735659812474E-4</v>
      </c>
    </row>
    <row r="259" spans="1:11" s="237" customFormat="1" ht="42.75">
      <c r="A259" s="422" t="s">
        <v>617</v>
      </c>
      <c r="B259" s="423" t="s">
        <v>1737</v>
      </c>
      <c r="C259" s="423" t="s">
        <v>1400</v>
      </c>
      <c r="D259" s="422" t="s">
        <v>1738</v>
      </c>
      <c r="E259" s="423" t="s">
        <v>1403</v>
      </c>
      <c r="F259" s="424">
        <v>59</v>
      </c>
      <c r="G259" s="425">
        <v>12.14</v>
      </c>
      <c r="H259" s="424">
        <v>25</v>
      </c>
      <c r="I259" s="425">
        <v>15.18</v>
      </c>
      <c r="J259" s="425">
        <v>895.62</v>
      </c>
      <c r="K259" s="421">
        <f t="shared" si="3"/>
        <v>1.5090005559858819E-4</v>
      </c>
    </row>
    <row r="260" spans="1:11" s="237" customFormat="1" ht="42.75">
      <c r="A260" s="422" t="s">
        <v>623</v>
      </c>
      <c r="B260" s="423" t="s">
        <v>1743</v>
      </c>
      <c r="C260" s="423" t="s">
        <v>1400</v>
      </c>
      <c r="D260" s="422" t="s">
        <v>1744</v>
      </c>
      <c r="E260" s="423" t="s">
        <v>1403</v>
      </c>
      <c r="F260" s="424">
        <v>23</v>
      </c>
      <c r="G260" s="425">
        <v>31.15</v>
      </c>
      <c r="H260" s="424">
        <v>25</v>
      </c>
      <c r="I260" s="425">
        <v>38.94</v>
      </c>
      <c r="J260" s="425">
        <v>895.62</v>
      </c>
      <c r="K260" s="421">
        <f t="shared" si="3"/>
        <v>1.5090005559858819E-4</v>
      </c>
    </row>
    <row r="261" spans="1:11" s="237" customFormat="1" ht="28.5">
      <c r="A261" s="422" t="s">
        <v>938</v>
      </c>
      <c r="B261" s="423" t="s">
        <v>1563</v>
      </c>
      <c r="C261" s="423" t="s">
        <v>1400</v>
      </c>
      <c r="D261" s="422" t="s">
        <v>1564</v>
      </c>
      <c r="E261" s="423" t="s">
        <v>1422</v>
      </c>
      <c r="F261" s="424">
        <v>6.58</v>
      </c>
      <c r="G261" s="425">
        <v>108.67</v>
      </c>
      <c r="H261" s="424">
        <v>25</v>
      </c>
      <c r="I261" s="425">
        <v>135.84</v>
      </c>
      <c r="J261" s="425">
        <v>893.83</v>
      </c>
      <c r="K261" s="421">
        <f t="shared" si="3"/>
        <v>1.5059846441089534E-4</v>
      </c>
    </row>
    <row r="262" spans="1:11" s="237" customFormat="1" ht="42.75">
      <c r="A262" s="422" t="s">
        <v>394</v>
      </c>
      <c r="B262" s="423" t="s">
        <v>1497</v>
      </c>
      <c r="C262" s="423" t="s">
        <v>1400</v>
      </c>
      <c r="D262" s="422" t="s">
        <v>1498</v>
      </c>
      <c r="E262" s="423" t="s">
        <v>1398</v>
      </c>
      <c r="F262" s="424">
        <v>11.7</v>
      </c>
      <c r="G262" s="425">
        <v>61.06</v>
      </c>
      <c r="H262" s="424">
        <v>25</v>
      </c>
      <c r="I262" s="425">
        <v>76.33</v>
      </c>
      <c r="J262" s="425">
        <v>893.06</v>
      </c>
      <c r="K262" s="421">
        <f t="shared" si="3"/>
        <v>1.5046872965417829E-4</v>
      </c>
    </row>
    <row r="263" spans="1:11" s="237" customFormat="1" ht="42.75">
      <c r="A263" s="422" t="s">
        <v>1357</v>
      </c>
      <c r="B263" s="423" t="s">
        <v>1735</v>
      </c>
      <c r="C263" s="423" t="s">
        <v>1400</v>
      </c>
      <c r="D263" s="422" t="s">
        <v>1736</v>
      </c>
      <c r="E263" s="423" t="s">
        <v>1403</v>
      </c>
      <c r="F263" s="424">
        <v>22</v>
      </c>
      <c r="G263" s="425">
        <v>32.020000000000003</v>
      </c>
      <c r="H263" s="424">
        <v>25</v>
      </c>
      <c r="I263" s="425">
        <v>40.03</v>
      </c>
      <c r="J263" s="425">
        <v>880.66</v>
      </c>
      <c r="K263" s="421">
        <f t="shared" si="3"/>
        <v>1.4837949461094288E-4</v>
      </c>
    </row>
    <row r="264" spans="1:11" s="237" customFormat="1" ht="42.75">
      <c r="A264" s="422" t="s">
        <v>619</v>
      </c>
      <c r="B264" s="423" t="s">
        <v>1739</v>
      </c>
      <c r="C264" s="423" t="s">
        <v>1400</v>
      </c>
      <c r="D264" s="422" t="s">
        <v>1740</v>
      </c>
      <c r="E264" s="423" t="s">
        <v>1403</v>
      </c>
      <c r="F264" s="424">
        <v>40</v>
      </c>
      <c r="G264" s="425">
        <v>17.350000000000001</v>
      </c>
      <c r="H264" s="424">
        <v>25</v>
      </c>
      <c r="I264" s="425">
        <v>21.69</v>
      </c>
      <c r="J264" s="425">
        <v>867.6</v>
      </c>
      <c r="K264" s="421">
        <f t="shared" si="3"/>
        <v>1.4617905834766432E-4</v>
      </c>
    </row>
    <row r="265" spans="1:11" s="237" customFormat="1" ht="42.75">
      <c r="A265" s="422" t="s">
        <v>863</v>
      </c>
      <c r="B265" s="423" t="s">
        <v>987</v>
      </c>
      <c r="C265" s="423" t="s">
        <v>1099</v>
      </c>
      <c r="D265" s="422" t="s">
        <v>2020</v>
      </c>
      <c r="E265" s="423" t="s">
        <v>1403</v>
      </c>
      <c r="F265" s="424">
        <v>40</v>
      </c>
      <c r="G265" s="425">
        <v>17.3</v>
      </c>
      <c r="H265" s="424">
        <v>25</v>
      </c>
      <c r="I265" s="425">
        <v>21.63</v>
      </c>
      <c r="J265" s="425">
        <v>865.2</v>
      </c>
      <c r="K265" s="421">
        <f t="shared" si="3"/>
        <v>1.4577469027478006E-4</v>
      </c>
    </row>
    <row r="266" spans="1:11" s="237" customFormat="1" ht="28.5">
      <c r="A266" s="422" t="s">
        <v>1391</v>
      </c>
      <c r="B266" s="423" t="s">
        <v>1385</v>
      </c>
      <c r="C266" s="423" t="s">
        <v>1396</v>
      </c>
      <c r="D266" s="422" t="s">
        <v>1983</v>
      </c>
      <c r="E266" s="423" t="s">
        <v>1403</v>
      </c>
      <c r="F266" s="424">
        <v>8</v>
      </c>
      <c r="G266" s="425">
        <v>85.78</v>
      </c>
      <c r="H266" s="424">
        <v>25</v>
      </c>
      <c r="I266" s="425">
        <v>107.23</v>
      </c>
      <c r="J266" s="425">
        <v>857.84</v>
      </c>
      <c r="K266" s="421">
        <f t="shared" si="3"/>
        <v>1.4453462818460162E-4</v>
      </c>
    </row>
    <row r="267" spans="1:11" s="237" customFormat="1" ht="42.75">
      <c r="A267" s="422" t="s">
        <v>560</v>
      </c>
      <c r="B267" s="423" t="s">
        <v>1660</v>
      </c>
      <c r="C267" s="423" t="s">
        <v>1400</v>
      </c>
      <c r="D267" s="422" t="s">
        <v>1661</v>
      </c>
      <c r="E267" s="423" t="s">
        <v>1403</v>
      </c>
      <c r="F267" s="424">
        <v>6</v>
      </c>
      <c r="G267" s="425">
        <v>113.2</v>
      </c>
      <c r="H267" s="424">
        <v>25</v>
      </c>
      <c r="I267" s="425">
        <v>141.5</v>
      </c>
      <c r="J267" s="425">
        <v>849</v>
      </c>
      <c r="K267" s="421">
        <f t="shared" si="3"/>
        <v>1.4304520578281121E-4</v>
      </c>
    </row>
    <row r="268" spans="1:11" s="237" customFormat="1" ht="28.5">
      <c r="A268" s="422" t="s">
        <v>515</v>
      </c>
      <c r="B268" s="423" t="s">
        <v>1620</v>
      </c>
      <c r="C268" s="423" t="s">
        <v>1400</v>
      </c>
      <c r="D268" s="422" t="s">
        <v>1621</v>
      </c>
      <c r="E268" s="423" t="s">
        <v>1416</v>
      </c>
      <c r="F268" s="424">
        <v>20.67</v>
      </c>
      <c r="G268" s="425">
        <v>32.47</v>
      </c>
      <c r="H268" s="424">
        <v>25</v>
      </c>
      <c r="I268" s="425">
        <v>40.590000000000003</v>
      </c>
      <c r="J268" s="425">
        <v>839</v>
      </c>
      <c r="K268" s="421">
        <f t="shared" si="3"/>
        <v>1.4136033881246006E-4</v>
      </c>
    </row>
    <row r="269" spans="1:11" s="237" customFormat="1" ht="42.75">
      <c r="A269" s="422" t="s">
        <v>815</v>
      </c>
      <c r="B269" s="423" t="s">
        <v>1974</v>
      </c>
      <c r="C269" s="423" t="s">
        <v>1400</v>
      </c>
      <c r="D269" s="422" t="s">
        <v>1975</v>
      </c>
      <c r="E269" s="423" t="s">
        <v>1403</v>
      </c>
      <c r="F269" s="424">
        <v>10</v>
      </c>
      <c r="G269" s="425">
        <v>66.28</v>
      </c>
      <c r="H269" s="424">
        <v>25</v>
      </c>
      <c r="I269" s="425">
        <v>82.85</v>
      </c>
      <c r="J269" s="425">
        <v>828.5</v>
      </c>
      <c r="K269" s="421">
        <f t="shared" si="3"/>
        <v>1.3959122849359137E-4</v>
      </c>
    </row>
    <row r="270" spans="1:11" s="237" customFormat="1" ht="28.5">
      <c r="A270" s="422" t="s">
        <v>741</v>
      </c>
      <c r="B270" s="423" t="s">
        <v>1301</v>
      </c>
      <c r="C270" s="423" t="s">
        <v>1396</v>
      </c>
      <c r="D270" s="422" t="s">
        <v>1894</v>
      </c>
      <c r="E270" s="423" t="s">
        <v>1403</v>
      </c>
      <c r="F270" s="424">
        <v>4</v>
      </c>
      <c r="G270" s="425">
        <v>164.69</v>
      </c>
      <c r="H270" s="424">
        <v>25</v>
      </c>
      <c r="I270" s="425">
        <v>205.86</v>
      </c>
      <c r="J270" s="425">
        <v>823.44</v>
      </c>
      <c r="K270" s="421">
        <f t="shared" si="3"/>
        <v>1.3873868580659371E-4</v>
      </c>
    </row>
    <row r="271" spans="1:11" s="237" customFormat="1" ht="42.75">
      <c r="A271" s="422" t="s">
        <v>352</v>
      </c>
      <c r="B271" s="423" t="s">
        <v>1490</v>
      </c>
      <c r="C271" s="423" t="s">
        <v>1400</v>
      </c>
      <c r="D271" s="422" t="s">
        <v>1491</v>
      </c>
      <c r="E271" s="423" t="s">
        <v>1398</v>
      </c>
      <c r="F271" s="424">
        <v>5.15</v>
      </c>
      <c r="G271" s="425">
        <v>123.94</v>
      </c>
      <c r="H271" s="424">
        <v>25</v>
      </c>
      <c r="I271" s="425">
        <v>154.93</v>
      </c>
      <c r="J271" s="425">
        <v>797.89</v>
      </c>
      <c r="K271" s="421">
        <f t="shared" ref="K271:K334" si="4">J271/$J$436</f>
        <v>1.3443385069734657E-4</v>
      </c>
    </row>
    <row r="272" spans="1:11" s="237" customFormat="1" ht="57">
      <c r="A272" s="422" t="s">
        <v>634</v>
      </c>
      <c r="B272" s="423" t="s">
        <v>1750</v>
      </c>
      <c r="C272" s="423" t="s">
        <v>1400</v>
      </c>
      <c r="D272" s="422" t="s">
        <v>1753</v>
      </c>
      <c r="E272" s="423" t="s">
        <v>1403</v>
      </c>
      <c r="F272" s="424">
        <v>11</v>
      </c>
      <c r="G272" s="425">
        <v>56.7</v>
      </c>
      <c r="H272" s="424">
        <v>25</v>
      </c>
      <c r="I272" s="425">
        <v>70.88</v>
      </c>
      <c r="J272" s="425">
        <v>779.68</v>
      </c>
      <c r="K272" s="421">
        <f t="shared" si="4"/>
        <v>1.3136570794433715E-4</v>
      </c>
    </row>
    <row r="273" spans="1:11" s="237" customFormat="1" ht="71.25">
      <c r="A273" s="422" t="s">
        <v>868</v>
      </c>
      <c r="B273" s="423" t="s">
        <v>1092</v>
      </c>
      <c r="C273" s="423" t="s">
        <v>1099</v>
      </c>
      <c r="D273" s="422" t="s">
        <v>1091</v>
      </c>
      <c r="E273" s="423" t="s">
        <v>1452</v>
      </c>
      <c r="F273" s="424">
        <v>8.8800000000000008</v>
      </c>
      <c r="G273" s="425">
        <v>68.7</v>
      </c>
      <c r="H273" s="424">
        <v>25</v>
      </c>
      <c r="I273" s="425">
        <v>85.88</v>
      </c>
      <c r="J273" s="425">
        <v>762.61</v>
      </c>
      <c r="K273" s="421">
        <f t="shared" si="4"/>
        <v>1.2848964002594776E-4</v>
      </c>
    </row>
    <row r="274" spans="1:11" s="237" customFormat="1" ht="28.5">
      <c r="A274" s="422" t="s">
        <v>1350</v>
      </c>
      <c r="B274" s="423" t="s">
        <v>1612</v>
      </c>
      <c r="C274" s="423" t="s">
        <v>1400</v>
      </c>
      <c r="D274" s="422" t="s">
        <v>1613</v>
      </c>
      <c r="E274" s="423" t="s">
        <v>1416</v>
      </c>
      <c r="F274" s="424">
        <v>97.82</v>
      </c>
      <c r="G274" s="425">
        <v>6.12</v>
      </c>
      <c r="H274" s="424">
        <v>25</v>
      </c>
      <c r="I274" s="425">
        <v>7.65</v>
      </c>
      <c r="J274" s="425">
        <v>748.32</v>
      </c>
      <c r="K274" s="421">
        <f t="shared" si="4"/>
        <v>1.2608196512531601E-4</v>
      </c>
    </row>
    <row r="275" spans="1:11" s="237" customFormat="1" ht="42.75">
      <c r="A275" s="422" t="s">
        <v>523</v>
      </c>
      <c r="B275" s="423" t="s">
        <v>1625</v>
      </c>
      <c r="C275" s="423" t="s">
        <v>1400</v>
      </c>
      <c r="D275" s="422" t="s">
        <v>1626</v>
      </c>
      <c r="E275" s="423" t="s">
        <v>1403</v>
      </c>
      <c r="F275" s="424">
        <v>37</v>
      </c>
      <c r="G275" s="425">
        <v>16.149999999999999</v>
      </c>
      <c r="H275" s="424">
        <v>25</v>
      </c>
      <c r="I275" s="425">
        <v>20.190000000000001</v>
      </c>
      <c r="J275" s="425">
        <v>747.03</v>
      </c>
      <c r="K275" s="421">
        <f t="shared" si="4"/>
        <v>1.2586461728614069E-4</v>
      </c>
    </row>
    <row r="276" spans="1:11" s="237" customFormat="1" ht="28.5">
      <c r="A276" s="422" t="s">
        <v>720</v>
      </c>
      <c r="B276" s="423" t="s">
        <v>1697</v>
      </c>
      <c r="C276" s="423" t="s">
        <v>1400</v>
      </c>
      <c r="D276" s="422" t="s">
        <v>1698</v>
      </c>
      <c r="E276" s="423" t="s">
        <v>1403</v>
      </c>
      <c r="F276" s="424">
        <v>3</v>
      </c>
      <c r="G276" s="425">
        <v>196.73</v>
      </c>
      <c r="H276" s="424">
        <v>25</v>
      </c>
      <c r="I276" s="425">
        <v>245.91</v>
      </c>
      <c r="J276" s="425">
        <v>737.73</v>
      </c>
      <c r="K276" s="421">
        <f t="shared" si="4"/>
        <v>1.2429769100371415E-4</v>
      </c>
    </row>
    <row r="277" spans="1:11" s="237" customFormat="1" ht="28.5">
      <c r="A277" s="422" t="s">
        <v>1351</v>
      </c>
      <c r="B277" s="423" t="s">
        <v>1789</v>
      </c>
      <c r="C277" s="423" t="s">
        <v>1400</v>
      </c>
      <c r="D277" s="422" t="s">
        <v>1790</v>
      </c>
      <c r="E277" s="423" t="s">
        <v>1416</v>
      </c>
      <c r="F277" s="424">
        <v>13.18</v>
      </c>
      <c r="G277" s="425">
        <v>43.89</v>
      </c>
      <c r="H277" s="424">
        <v>25</v>
      </c>
      <c r="I277" s="425">
        <v>54.86</v>
      </c>
      <c r="J277" s="425">
        <v>723.05</v>
      </c>
      <c r="K277" s="421">
        <f t="shared" si="4"/>
        <v>1.2182430629123867E-4</v>
      </c>
    </row>
    <row r="278" spans="1:11" s="237" customFormat="1" ht="42.75">
      <c r="A278" s="422" t="s">
        <v>834</v>
      </c>
      <c r="B278" s="423" t="s">
        <v>670</v>
      </c>
      <c r="C278" s="423" t="s">
        <v>1400</v>
      </c>
      <c r="D278" s="422" t="s">
        <v>1795</v>
      </c>
      <c r="E278" s="423" t="s">
        <v>1403</v>
      </c>
      <c r="F278" s="424">
        <v>2</v>
      </c>
      <c r="G278" s="425">
        <v>286.48</v>
      </c>
      <c r="H278" s="424">
        <v>25</v>
      </c>
      <c r="I278" s="425">
        <v>358.1</v>
      </c>
      <c r="J278" s="425">
        <v>716.2</v>
      </c>
      <c r="K278" s="421">
        <f t="shared" si="4"/>
        <v>1.2067017241654817E-4</v>
      </c>
    </row>
    <row r="279" spans="1:11" s="237" customFormat="1" ht="42.75">
      <c r="A279" s="422" t="s">
        <v>631</v>
      </c>
      <c r="B279" s="423" t="s">
        <v>1750</v>
      </c>
      <c r="C279" s="423" t="s">
        <v>1400</v>
      </c>
      <c r="D279" s="422" t="s">
        <v>1029</v>
      </c>
      <c r="E279" s="423" t="s">
        <v>1403</v>
      </c>
      <c r="F279" s="424">
        <v>11</v>
      </c>
      <c r="G279" s="425">
        <v>51.19</v>
      </c>
      <c r="H279" s="424">
        <v>25</v>
      </c>
      <c r="I279" s="425">
        <v>63.99</v>
      </c>
      <c r="J279" s="425">
        <v>703.89</v>
      </c>
      <c r="K279" s="421">
        <f t="shared" si="4"/>
        <v>1.1859610117604591E-4</v>
      </c>
    </row>
    <row r="280" spans="1:11" s="237" customFormat="1" ht="28.5">
      <c r="A280" s="422" t="s">
        <v>252</v>
      </c>
      <c r="B280" s="423" t="s">
        <v>1830</v>
      </c>
      <c r="C280" s="423" t="s">
        <v>1400</v>
      </c>
      <c r="D280" s="422" t="s">
        <v>1831</v>
      </c>
      <c r="E280" s="423" t="s">
        <v>1416</v>
      </c>
      <c r="F280" s="424">
        <v>5.0999999999999996</v>
      </c>
      <c r="G280" s="425">
        <v>110.23</v>
      </c>
      <c r="H280" s="424">
        <v>25</v>
      </c>
      <c r="I280" s="425">
        <v>137.79</v>
      </c>
      <c r="J280" s="425">
        <v>702.73</v>
      </c>
      <c r="K280" s="421">
        <f t="shared" si="4"/>
        <v>1.1840065660748518E-4</v>
      </c>
    </row>
    <row r="281" spans="1:11" s="237" customFormat="1" ht="42.75">
      <c r="A281" s="422" t="s">
        <v>811</v>
      </c>
      <c r="B281" s="423" t="s">
        <v>1970</v>
      </c>
      <c r="C281" s="423" t="s">
        <v>1400</v>
      </c>
      <c r="D281" s="422" t="s">
        <v>1971</v>
      </c>
      <c r="E281" s="423" t="s">
        <v>1403</v>
      </c>
      <c r="F281" s="424">
        <v>10</v>
      </c>
      <c r="G281" s="425">
        <v>55.3</v>
      </c>
      <c r="H281" s="424">
        <v>25</v>
      </c>
      <c r="I281" s="425">
        <v>69.13</v>
      </c>
      <c r="J281" s="425">
        <v>691.3</v>
      </c>
      <c r="K281" s="421">
        <f t="shared" si="4"/>
        <v>1.1647485366037383E-4</v>
      </c>
    </row>
    <row r="282" spans="1:11" s="237" customFormat="1" ht="42.75">
      <c r="A282" s="422" t="s">
        <v>251</v>
      </c>
      <c r="B282" s="423" t="s">
        <v>1826</v>
      </c>
      <c r="C282" s="423" t="s">
        <v>1400</v>
      </c>
      <c r="D282" s="422" t="s">
        <v>1827</v>
      </c>
      <c r="E282" s="423" t="s">
        <v>1403</v>
      </c>
      <c r="F282" s="424">
        <v>2</v>
      </c>
      <c r="G282" s="425">
        <v>275.45999999999998</v>
      </c>
      <c r="H282" s="424">
        <v>25</v>
      </c>
      <c r="I282" s="425">
        <v>344.33</v>
      </c>
      <c r="J282" s="425">
        <v>688.66</v>
      </c>
      <c r="K282" s="421">
        <f t="shared" si="4"/>
        <v>1.1603004878020114E-4</v>
      </c>
    </row>
    <row r="283" spans="1:11" s="237" customFormat="1" ht="42.75">
      <c r="A283" s="422" t="s">
        <v>817</v>
      </c>
      <c r="B283" s="423" t="s">
        <v>1976</v>
      </c>
      <c r="C283" s="423" t="s">
        <v>1400</v>
      </c>
      <c r="D283" s="422" t="s">
        <v>1977</v>
      </c>
      <c r="E283" s="423" t="s">
        <v>1403</v>
      </c>
      <c r="F283" s="424">
        <v>7</v>
      </c>
      <c r="G283" s="425">
        <v>76.39</v>
      </c>
      <c r="H283" s="424">
        <v>25</v>
      </c>
      <c r="I283" s="425">
        <v>95.49</v>
      </c>
      <c r="J283" s="425">
        <v>668.43</v>
      </c>
      <c r="K283" s="421">
        <f t="shared" si="4"/>
        <v>1.1262156289918079E-4</v>
      </c>
    </row>
    <row r="284" spans="1:11" s="237" customFormat="1" ht="42.75">
      <c r="A284" s="422" t="s">
        <v>611</v>
      </c>
      <c r="B284" s="423" t="s">
        <v>1729</v>
      </c>
      <c r="C284" s="423" t="s">
        <v>1400</v>
      </c>
      <c r="D284" s="422" t="s">
        <v>1730</v>
      </c>
      <c r="E284" s="423" t="s">
        <v>1403</v>
      </c>
      <c r="F284" s="424">
        <v>43</v>
      </c>
      <c r="G284" s="425">
        <v>12.37</v>
      </c>
      <c r="H284" s="424">
        <v>25</v>
      </c>
      <c r="I284" s="425">
        <v>15.46</v>
      </c>
      <c r="J284" s="425">
        <v>664.78</v>
      </c>
      <c r="K284" s="421">
        <f t="shared" si="4"/>
        <v>1.1200658645500263E-4</v>
      </c>
    </row>
    <row r="285" spans="1:11" s="237" customFormat="1" ht="28.5">
      <c r="A285" s="422" t="s">
        <v>862</v>
      </c>
      <c r="B285" s="423" t="s">
        <v>1096</v>
      </c>
      <c r="C285" s="423" t="s">
        <v>1396</v>
      </c>
      <c r="D285" s="422" t="s">
        <v>1095</v>
      </c>
      <c r="E285" s="423" t="s">
        <v>1403</v>
      </c>
      <c r="F285" s="424">
        <v>155</v>
      </c>
      <c r="G285" s="425">
        <v>3.36</v>
      </c>
      <c r="H285" s="424">
        <v>25</v>
      </c>
      <c r="I285" s="425">
        <v>4.2</v>
      </c>
      <c r="J285" s="425">
        <v>651</v>
      </c>
      <c r="K285" s="421">
        <f t="shared" si="4"/>
        <v>1.0968483976985877E-4</v>
      </c>
    </row>
    <row r="286" spans="1:11" s="237" customFormat="1" ht="42.75">
      <c r="A286" s="422" t="s">
        <v>621</v>
      </c>
      <c r="B286" s="423" t="s">
        <v>1741</v>
      </c>
      <c r="C286" s="423" t="s">
        <v>1400</v>
      </c>
      <c r="D286" s="422" t="s">
        <v>1742</v>
      </c>
      <c r="E286" s="423" t="s">
        <v>1403</v>
      </c>
      <c r="F286" s="424">
        <v>20</v>
      </c>
      <c r="G286" s="425">
        <v>25.7</v>
      </c>
      <c r="H286" s="424">
        <v>25</v>
      </c>
      <c r="I286" s="425">
        <v>32.130000000000003</v>
      </c>
      <c r="J286" s="425">
        <v>642.6</v>
      </c>
      <c r="K286" s="421">
        <f t="shared" si="4"/>
        <v>1.0826955151476382E-4</v>
      </c>
    </row>
    <row r="287" spans="1:11" s="237" customFormat="1" ht="28.5">
      <c r="A287" s="422" t="s">
        <v>1165</v>
      </c>
      <c r="B287" s="423" t="s">
        <v>1019</v>
      </c>
      <c r="C287" s="423" t="s">
        <v>1396</v>
      </c>
      <c r="D287" s="422" t="s">
        <v>274</v>
      </c>
      <c r="E287" s="423" t="s">
        <v>1398</v>
      </c>
      <c r="F287" s="424">
        <v>4.7300000000000004</v>
      </c>
      <c r="G287" s="425">
        <v>107.64</v>
      </c>
      <c r="H287" s="424">
        <v>25</v>
      </c>
      <c r="I287" s="425">
        <v>134.55000000000001</v>
      </c>
      <c r="J287" s="425">
        <v>636.41999999999996</v>
      </c>
      <c r="K287" s="421">
        <f t="shared" si="4"/>
        <v>1.0722830372708681E-4</v>
      </c>
    </row>
    <row r="288" spans="1:11" s="237" customFormat="1" ht="42.75">
      <c r="A288" s="422" t="s">
        <v>602</v>
      </c>
      <c r="B288" s="423" t="s">
        <v>1701</v>
      </c>
      <c r="C288" s="423" t="s">
        <v>1400</v>
      </c>
      <c r="D288" s="422" t="s">
        <v>1702</v>
      </c>
      <c r="E288" s="423" t="s">
        <v>1403</v>
      </c>
      <c r="F288" s="424">
        <v>8</v>
      </c>
      <c r="G288" s="425">
        <v>63.34</v>
      </c>
      <c r="H288" s="424">
        <v>25</v>
      </c>
      <c r="I288" s="425">
        <v>79.180000000000007</v>
      </c>
      <c r="J288" s="425">
        <v>633.44000000000005</v>
      </c>
      <c r="K288" s="421">
        <f t="shared" si="4"/>
        <v>1.0672621336992219E-4</v>
      </c>
    </row>
    <row r="289" spans="1:11" s="237" customFormat="1" ht="57">
      <c r="A289" s="422" t="s">
        <v>320</v>
      </c>
      <c r="B289" s="423" t="s">
        <v>1446</v>
      </c>
      <c r="C289" s="423" t="s">
        <v>1400</v>
      </c>
      <c r="D289" s="422" t="s">
        <v>1447</v>
      </c>
      <c r="E289" s="423" t="s">
        <v>1416</v>
      </c>
      <c r="F289" s="424">
        <v>7.8</v>
      </c>
      <c r="G289" s="425">
        <v>62.95</v>
      </c>
      <c r="H289" s="424">
        <v>25</v>
      </c>
      <c r="I289" s="425">
        <v>78.69</v>
      </c>
      <c r="J289" s="425">
        <v>613.78</v>
      </c>
      <c r="K289" s="421">
        <f t="shared" si="4"/>
        <v>1.0341376490621185E-4</v>
      </c>
    </row>
    <row r="290" spans="1:11" s="237" customFormat="1" ht="42.75">
      <c r="A290" s="422" t="s">
        <v>761</v>
      </c>
      <c r="B290" s="423" t="s">
        <v>1918</v>
      </c>
      <c r="C290" s="423" t="s">
        <v>1400</v>
      </c>
      <c r="D290" s="422" t="s">
        <v>1919</v>
      </c>
      <c r="E290" s="423" t="s">
        <v>1416</v>
      </c>
      <c r="F290" s="424">
        <v>41.6</v>
      </c>
      <c r="G290" s="425">
        <v>11.8</v>
      </c>
      <c r="H290" s="424">
        <v>25</v>
      </c>
      <c r="I290" s="425">
        <v>14.75</v>
      </c>
      <c r="J290" s="425">
        <v>613.6</v>
      </c>
      <c r="K290" s="421">
        <f t="shared" si="4"/>
        <v>1.0338343730074554E-4</v>
      </c>
    </row>
    <row r="291" spans="1:11" s="237" customFormat="1" ht="42.75">
      <c r="A291" s="422" t="s">
        <v>1329</v>
      </c>
      <c r="B291" s="423" t="s">
        <v>1453</v>
      </c>
      <c r="C291" s="423" t="s">
        <v>1400</v>
      </c>
      <c r="D291" s="422" t="s">
        <v>1454</v>
      </c>
      <c r="E291" s="423" t="s">
        <v>1452</v>
      </c>
      <c r="F291" s="424">
        <v>31.01</v>
      </c>
      <c r="G291" s="425">
        <v>15.76</v>
      </c>
      <c r="H291" s="424">
        <v>25</v>
      </c>
      <c r="I291" s="425">
        <v>19.7</v>
      </c>
      <c r="J291" s="425">
        <v>610.9</v>
      </c>
      <c r="K291" s="421">
        <f t="shared" si="4"/>
        <v>1.0292852321875072E-4</v>
      </c>
    </row>
    <row r="292" spans="1:11" s="237" customFormat="1" ht="28.5">
      <c r="A292" s="422" t="s">
        <v>445</v>
      </c>
      <c r="B292" s="423" t="s">
        <v>1434</v>
      </c>
      <c r="C292" s="423" t="s">
        <v>1400</v>
      </c>
      <c r="D292" s="422" t="s">
        <v>1435</v>
      </c>
      <c r="E292" s="423" t="s">
        <v>1422</v>
      </c>
      <c r="F292" s="424">
        <v>14.95</v>
      </c>
      <c r="G292" s="425">
        <v>32.549999999999997</v>
      </c>
      <c r="H292" s="424">
        <v>25</v>
      </c>
      <c r="I292" s="425">
        <v>40.69</v>
      </c>
      <c r="J292" s="425">
        <v>608.32000000000005</v>
      </c>
      <c r="K292" s="421">
        <f t="shared" si="4"/>
        <v>1.0249382754040015E-4</v>
      </c>
    </row>
    <row r="293" spans="1:11" s="237" customFormat="1" ht="42.75">
      <c r="A293" s="422" t="s">
        <v>861</v>
      </c>
      <c r="B293" s="423" t="s">
        <v>1003</v>
      </c>
      <c r="C293" s="423" t="s">
        <v>1099</v>
      </c>
      <c r="D293" s="422" t="s">
        <v>2019</v>
      </c>
      <c r="E293" s="423" t="s">
        <v>1403</v>
      </c>
      <c r="F293" s="424">
        <v>17</v>
      </c>
      <c r="G293" s="425">
        <v>28.3</v>
      </c>
      <c r="H293" s="424">
        <v>25</v>
      </c>
      <c r="I293" s="425">
        <v>35.380000000000003</v>
      </c>
      <c r="J293" s="425">
        <v>601.46</v>
      </c>
      <c r="K293" s="421">
        <f t="shared" si="4"/>
        <v>1.0133800879873926E-4</v>
      </c>
    </row>
    <row r="294" spans="1:11" s="237" customFormat="1" ht="42.75">
      <c r="A294" s="422" t="s">
        <v>519</v>
      </c>
      <c r="B294" s="423" t="s">
        <v>1023</v>
      </c>
      <c r="C294" s="423" t="s">
        <v>1396</v>
      </c>
      <c r="D294" s="422" t="s">
        <v>520</v>
      </c>
      <c r="E294" s="423" t="s">
        <v>1416</v>
      </c>
      <c r="F294" s="424">
        <v>11.08</v>
      </c>
      <c r="G294" s="425">
        <v>43.2</v>
      </c>
      <c r="H294" s="424">
        <v>25</v>
      </c>
      <c r="I294" s="425">
        <v>54</v>
      </c>
      <c r="J294" s="425">
        <v>598.32000000000005</v>
      </c>
      <c r="K294" s="421">
        <f t="shared" si="4"/>
        <v>1.0080896057004901E-4</v>
      </c>
    </row>
    <row r="295" spans="1:11" s="237" customFormat="1" ht="42.75">
      <c r="A295" s="422" t="s">
        <v>647</v>
      </c>
      <c r="B295" s="423" t="s">
        <v>1768</v>
      </c>
      <c r="C295" s="423" t="s">
        <v>1400</v>
      </c>
      <c r="D295" s="422" t="s">
        <v>1769</v>
      </c>
      <c r="E295" s="423" t="s">
        <v>1403</v>
      </c>
      <c r="F295" s="424">
        <v>11</v>
      </c>
      <c r="G295" s="425">
        <v>43.22</v>
      </c>
      <c r="H295" s="424">
        <v>25</v>
      </c>
      <c r="I295" s="425">
        <v>54.03</v>
      </c>
      <c r="J295" s="425">
        <v>594.33000000000004</v>
      </c>
      <c r="K295" s="421">
        <f t="shared" si="4"/>
        <v>1.0013669864887891E-4</v>
      </c>
    </row>
    <row r="296" spans="1:11" s="237" customFormat="1" ht="28.5">
      <c r="A296" s="422" t="s">
        <v>341</v>
      </c>
      <c r="B296" s="423" t="s">
        <v>1474</v>
      </c>
      <c r="C296" s="423" t="s">
        <v>1400</v>
      </c>
      <c r="D296" s="422" t="s">
        <v>1475</v>
      </c>
      <c r="E296" s="423" t="s">
        <v>1398</v>
      </c>
      <c r="F296" s="424">
        <v>10.24</v>
      </c>
      <c r="G296" s="425">
        <v>45.24</v>
      </c>
      <c r="H296" s="424">
        <v>25</v>
      </c>
      <c r="I296" s="425">
        <v>56.55</v>
      </c>
      <c r="J296" s="425">
        <v>579.07000000000005</v>
      </c>
      <c r="K296" s="421">
        <f t="shared" si="4"/>
        <v>9.7565591652123079E-5</v>
      </c>
    </row>
    <row r="297" spans="1:11" s="237" customFormat="1" ht="28.5">
      <c r="A297" s="422" t="s">
        <v>2511</v>
      </c>
      <c r="B297" s="423" t="s">
        <v>1609</v>
      </c>
      <c r="C297" s="423" t="s">
        <v>1400</v>
      </c>
      <c r="D297" s="422" t="s">
        <v>1610</v>
      </c>
      <c r="E297" s="423" t="s">
        <v>1416</v>
      </c>
      <c r="F297" s="424">
        <v>234.95</v>
      </c>
      <c r="G297" s="425">
        <v>1.95</v>
      </c>
      <c r="H297" s="424">
        <v>25</v>
      </c>
      <c r="I297" s="425">
        <v>2.44</v>
      </c>
      <c r="J297" s="425">
        <v>573.28</v>
      </c>
      <c r="K297" s="421">
        <f t="shared" si="4"/>
        <v>9.6590053676289754E-5</v>
      </c>
    </row>
    <row r="298" spans="1:11" s="237" customFormat="1" ht="28.5">
      <c r="A298" s="422" t="s">
        <v>407</v>
      </c>
      <c r="B298" s="423" t="s">
        <v>1016</v>
      </c>
      <c r="C298" s="423" t="s">
        <v>1396</v>
      </c>
      <c r="D298" s="422" t="s">
        <v>488</v>
      </c>
      <c r="E298" s="423" t="s">
        <v>1398</v>
      </c>
      <c r="F298" s="424">
        <v>32.44</v>
      </c>
      <c r="G298" s="425">
        <v>14.1</v>
      </c>
      <c r="H298" s="424">
        <v>25</v>
      </c>
      <c r="I298" s="425">
        <v>17.63</v>
      </c>
      <c r="J298" s="425">
        <v>571.91999999999996</v>
      </c>
      <c r="K298" s="421">
        <f t="shared" si="4"/>
        <v>9.6360911768321995E-5</v>
      </c>
    </row>
    <row r="299" spans="1:11" s="237" customFormat="1" ht="42.75">
      <c r="A299" s="422" t="s">
        <v>1363</v>
      </c>
      <c r="B299" s="423" t="s">
        <v>1758</v>
      </c>
      <c r="C299" s="423" t="s">
        <v>1400</v>
      </c>
      <c r="D299" s="422" t="s">
        <v>1759</v>
      </c>
      <c r="E299" s="423" t="s">
        <v>1403</v>
      </c>
      <c r="F299" s="424">
        <v>23</v>
      </c>
      <c r="G299" s="425">
        <v>19.73</v>
      </c>
      <c r="H299" s="424">
        <v>25</v>
      </c>
      <c r="I299" s="425">
        <v>24.66</v>
      </c>
      <c r="J299" s="425">
        <v>567.17999999999995</v>
      </c>
      <c r="K299" s="421">
        <f t="shared" si="4"/>
        <v>9.5562284824375569E-5</v>
      </c>
    </row>
    <row r="300" spans="1:11" s="237" customFormat="1" ht="42.75">
      <c r="A300" s="422" t="s">
        <v>649</v>
      </c>
      <c r="B300" s="423" t="s">
        <v>1751</v>
      </c>
      <c r="C300" s="423" t="s">
        <v>1400</v>
      </c>
      <c r="D300" s="422" t="s">
        <v>1752</v>
      </c>
      <c r="E300" s="423" t="s">
        <v>1403</v>
      </c>
      <c r="F300" s="424">
        <v>9</v>
      </c>
      <c r="G300" s="425">
        <v>50.11</v>
      </c>
      <c r="H300" s="424">
        <v>25</v>
      </c>
      <c r="I300" s="425">
        <v>62.64</v>
      </c>
      <c r="J300" s="425">
        <v>563.76</v>
      </c>
      <c r="K300" s="421">
        <f t="shared" si="4"/>
        <v>9.4986060320515484E-5</v>
      </c>
    </row>
    <row r="301" spans="1:11" s="237" customFormat="1" ht="28.5">
      <c r="A301" s="422" t="s">
        <v>249</v>
      </c>
      <c r="B301" s="423" t="s">
        <v>1041</v>
      </c>
      <c r="C301" s="423" t="s">
        <v>1396</v>
      </c>
      <c r="D301" s="422" t="s">
        <v>1823</v>
      </c>
      <c r="E301" s="423" t="s">
        <v>1403</v>
      </c>
      <c r="F301" s="424">
        <v>2</v>
      </c>
      <c r="G301" s="425">
        <v>224.27</v>
      </c>
      <c r="H301" s="424">
        <v>25</v>
      </c>
      <c r="I301" s="425">
        <v>280.33999999999997</v>
      </c>
      <c r="J301" s="425">
        <v>560.67999999999995</v>
      </c>
      <c r="K301" s="421">
        <f t="shared" si="4"/>
        <v>9.4467121293647329E-5</v>
      </c>
    </row>
    <row r="302" spans="1:11" s="237" customFormat="1" ht="42.75">
      <c r="A302" s="422" t="s">
        <v>540</v>
      </c>
      <c r="B302" s="423" t="s">
        <v>1643</v>
      </c>
      <c r="C302" s="423" t="s">
        <v>1400</v>
      </c>
      <c r="D302" s="422" t="s">
        <v>1644</v>
      </c>
      <c r="E302" s="423" t="s">
        <v>1403</v>
      </c>
      <c r="F302" s="424">
        <v>17</v>
      </c>
      <c r="G302" s="425">
        <v>25.92</v>
      </c>
      <c r="H302" s="424">
        <v>25</v>
      </c>
      <c r="I302" s="425">
        <v>32.4</v>
      </c>
      <c r="J302" s="425">
        <v>550.79999999999995</v>
      </c>
      <c r="K302" s="421">
        <f t="shared" si="4"/>
        <v>9.2802472726940407E-5</v>
      </c>
    </row>
    <row r="303" spans="1:11" s="237" customFormat="1" ht="28.5">
      <c r="A303" s="422" t="s">
        <v>338</v>
      </c>
      <c r="B303" s="423" t="s">
        <v>1467</v>
      </c>
      <c r="C303" s="423" t="s">
        <v>1400</v>
      </c>
      <c r="D303" s="422" t="s">
        <v>1468</v>
      </c>
      <c r="E303" s="423" t="s">
        <v>1452</v>
      </c>
      <c r="F303" s="424">
        <v>29.22</v>
      </c>
      <c r="G303" s="425">
        <v>14.93</v>
      </c>
      <c r="H303" s="424">
        <v>25</v>
      </c>
      <c r="I303" s="425">
        <v>18.66</v>
      </c>
      <c r="J303" s="425">
        <v>545.25</v>
      </c>
      <c r="K303" s="421">
        <f t="shared" si="4"/>
        <v>9.1867371558395535E-5</v>
      </c>
    </row>
    <row r="304" spans="1:11" s="237" customFormat="1" ht="42.75">
      <c r="A304" s="422" t="s">
        <v>596</v>
      </c>
      <c r="B304" s="423" t="s">
        <v>1695</v>
      </c>
      <c r="C304" s="423" t="s">
        <v>1400</v>
      </c>
      <c r="D304" s="422" t="s">
        <v>1696</v>
      </c>
      <c r="E304" s="423" t="s">
        <v>1403</v>
      </c>
      <c r="F304" s="424">
        <v>4</v>
      </c>
      <c r="G304" s="425">
        <v>108.78</v>
      </c>
      <c r="H304" s="424">
        <v>25</v>
      </c>
      <c r="I304" s="425">
        <v>135.97999999999999</v>
      </c>
      <c r="J304" s="425">
        <v>543.91999999999996</v>
      </c>
      <c r="K304" s="421">
        <f t="shared" si="4"/>
        <v>9.1643284251338833E-5</v>
      </c>
    </row>
    <row r="305" spans="1:11" s="237" customFormat="1" ht="57">
      <c r="A305" s="422" t="s">
        <v>629</v>
      </c>
      <c r="B305" s="423" t="s">
        <v>1748</v>
      </c>
      <c r="C305" s="423" t="s">
        <v>1400</v>
      </c>
      <c r="D305" s="422" t="s">
        <v>1749</v>
      </c>
      <c r="E305" s="423" t="s">
        <v>1403</v>
      </c>
      <c r="F305" s="424">
        <v>11</v>
      </c>
      <c r="G305" s="425">
        <v>38.08</v>
      </c>
      <c r="H305" s="424">
        <v>25</v>
      </c>
      <c r="I305" s="425">
        <v>47.6</v>
      </c>
      <c r="J305" s="425">
        <v>523.6</v>
      </c>
      <c r="K305" s="421">
        <f t="shared" si="4"/>
        <v>8.8219634567585331E-5</v>
      </c>
    </row>
    <row r="306" spans="1:11" s="237" customFormat="1" ht="28.5">
      <c r="A306" s="422" t="s">
        <v>746</v>
      </c>
      <c r="B306" s="423" t="s">
        <v>1896</v>
      </c>
      <c r="C306" s="423" t="s">
        <v>1400</v>
      </c>
      <c r="D306" s="422" t="s">
        <v>1897</v>
      </c>
      <c r="E306" s="423" t="s">
        <v>1403</v>
      </c>
      <c r="F306" s="424">
        <v>40</v>
      </c>
      <c r="G306" s="425">
        <v>10.44</v>
      </c>
      <c r="H306" s="424">
        <v>25</v>
      </c>
      <c r="I306" s="425">
        <v>13.05</v>
      </c>
      <c r="J306" s="425">
        <v>522</v>
      </c>
      <c r="K306" s="421">
        <f t="shared" si="4"/>
        <v>8.7950055852329146E-5</v>
      </c>
    </row>
    <row r="307" spans="1:11" s="237" customFormat="1" ht="42.75">
      <c r="A307" s="422" t="s">
        <v>1387</v>
      </c>
      <c r="B307" s="423" t="s">
        <v>1978</v>
      </c>
      <c r="C307" s="423" t="s">
        <v>1400</v>
      </c>
      <c r="D307" s="422" t="s">
        <v>1979</v>
      </c>
      <c r="E307" s="423" t="s">
        <v>1403</v>
      </c>
      <c r="F307" s="424">
        <v>4</v>
      </c>
      <c r="G307" s="425">
        <v>104.26</v>
      </c>
      <c r="H307" s="424">
        <v>25</v>
      </c>
      <c r="I307" s="425">
        <v>130.33000000000001</v>
      </c>
      <c r="J307" s="425">
        <v>521.32000000000005</v>
      </c>
      <c r="K307" s="421">
        <f t="shared" si="4"/>
        <v>8.7835484898345288E-5</v>
      </c>
    </row>
    <row r="308" spans="1:11" s="237" customFormat="1" ht="28.5">
      <c r="A308" s="422" t="s">
        <v>754</v>
      </c>
      <c r="B308" s="423" t="s">
        <v>1309</v>
      </c>
      <c r="C308" s="423" t="s">
        <v>1396</v>
      </c>
      <c r="D308" s="422" t="s">
        <v>1308</v>
      </c>
      <c r="E308" s="423" t="s">
        <v>1403</v>
      </c>
      <c r="F308" s="424">
        <v>4</v>
      </c>
      <c r="G308" s="425">
        <v>103.16</v>
      </c>
      <c r="H308" s="424">
        <v>25</v>
      </c>
      <c r="I308" s="425">
        <v>128.94999999999999</v>
      </c>
      <c r="J308" s="425">
        <v>515.79999999999995</v>
      </c>
      <c r="K308" s="421">
        <f t="shared" si="4"/>
        <v>8.6905438330711445E-5</v>
      </c>
    </row>
    <row r="309" spans="1:11" s="237" customFormat="1" ht="42.75">
      <c r="A309" s="422" t="s">
        <v>813</v>
      </c>
      <c r="B309" s="423" t="s">
        <v>1972</v>
      </c>
      <c r="C309" s="423" t="s">
        <v>1400</v>
      </c>
      <c r="D309" s="422" t="s">
        <v>1973</v>
      </c>
      <c r="E309" s="423" t="s">
        <v>1403</v>
      </c>
      <c r="F309" s="424">
        <v>7</v>
      </c>
      <c r="G309" s="425">
        <v>58.63</v>
      </c>
      <c r="H309" s="424">
        <v>25</v>
      </c>
      <c r="I309" s="425">
        <v>73.290000000000006</v>
      </c>
      <c r="J309" s="425">
        <v>513.03</v>
      </c>
      <c r="K309" s="421">
        <f t="shared" si="4"/>
        <v>8.6438730179924176E-5</v>
      </c>
    </row>
    <row r="310" spans="1:11" s="237" customFormat="1" ht="42.75">
      <c r="A310" s="422" t="s">
        <v>245</v>
      </c>
      <c r="B310" s="423" t="s">
        <v>1811</v>
      </c>
      <c r="C310" s="423" t="s">
        <v>1400</v>
      </c>
      <c r="D310" s="422" t="s">
        <v>1812</v>
      </c>
      <c r="E310" s="423" t="s">
        <v>1403</v>
      </c>
      <c r="F310" s="424">
        <v>1</v>
      </c>
      <c r="G310" s="425">
        <v>398.85</v>
      </c>
      <c r="H310" s="424">
        <v>25</v>
      </c>
      <c r="I310" s="425">
        <v>498.56</v>
      </c>
      <c r="J310" s="425">
        <v>498.56</v>
      </c>
      <c r="K310" s="421">
        <f t="shared" si="4"/>
        <v>8.4000727673826098E-5</v>
      </c>
    </row>
    <row r="311" spans="1:11" s="237" customFormat="1" ht="57">
      <c r="A311" s="422" t="s">
        <v>735</v>
      </c>
      <c r="B311" s="423" t="s">
        <v>1887</v>
      </c>
      <c r="C311" s="423" t="s">
        <v>1400</v>
      </c>
      <c r="D311" s="422" t="s">
        <v>1888</v>
      </c>
      <c r="E311" s="423" t="s">
        <v>1403</v>
      </c>
      <c r="F311" s="424">
        <v>1</v>
      </c>
      <c r="G311" s="425">
        <v>390.45</v>
      </c>
      <c r="H311" s="424">
        <v>25</v>
      </c>
      <c r="I311" s="425">
        <v>488.06</v>
      </c>
      <c r="J311" s="425">
        <v>488.06</v>
      </c>
      <c r="K311" s="421">
        <f t="shared" si="4"/>
        <v>8.2231617354957404E-5</v>
      </c>
    </row>
    <row r="312" spans="1:11" s="237" customFormat="1" ht="42.75">
      <c r="A312" s="422" t="s">
        <v>612</v>
      </c>
      <c r="B312" s="423" t="s">
        <v>1731</v>
      </c>
      <c r="C312" s="423" t="s">
        <v>1400</v>
      </c>
      <c r="D312" s="422" t="s">
        <v>1732</v>
      </c>
      <c r="E312" s="423" t="s">
        <v>1403</v>
      </c>
      <c r="F312" s="424">
        <v>21</v>
      </c>
      <c r="G312" s="425">
        <v>18.11</v>
      </c>
      <c r="H312" s="424">
        <v>25</v>
      </c>
      <c r="I312" s="425">
        <v>22.64</v>
      </c>
      <c r="J312" s="425">
        <v>475.44</v>
      </c>
      <c r="K312" s="421">
        <f t="shared" si="4"/>
        <v>8.010531523837427E-5</v>
      </c>
    </row>
    <row r="313" spans="1:11" s="237" customFormat="1" ht="42.75">
      <c r="A313" s="422" t="s">
        <v>847</v>
      </c>
      <c r="B313" s="423" t="s">
        <v>2003</v>
      </c>
      <c r="C313" s="423" t="s">
        <v>2004</v>
      </c>
      <c r="D313" s="422" t="s">
        <v>2005</v>
      </c>
      <c r="E313" s="423" t="s">
        <v>1403</v>
      </c>
      <c r="F313" s="424">
        <v>16</v>
      </c>
      <c r="G313" s="425">
        <v>23.33</v>
      </c>
      <c r="H313" s="424">
        <v>25</v>
      </c>
      <c r="I313" s="425">
        <v>29.16</v>
      </c>
      <c r="J313" s="425">
        <v>466.56</v>
      </c>
      <c r="K313" s="421">
        <f t="shared" si="4"/>
        <v>7.8609153368702469E-5</v>
      </c>
    </row>
    <row r="314" spans="1:11" s="237" customFormat="1" ht="28.5">
      <c r="A314" s="422" t="s">
        <v>728</v>
      </c>
      <c r="B314" s="423" t="s">
        <v>1882</v>
      </c>
      <c r="C314" s="423" t="s">
        <v>1400</v>
      </c>
      <c r="D314" s="422" t="s">
        <v>1883</v>
      </c>
      <c r="E314" s="423" t="s">
        <v>1403</v>
      </c>
      <c r="F314" s="424">
        <v>1</v>
      </c>
      <c r="G314" s="425">
        <v>372.99</v>
      </c>
      <c r="H314" s="424">
        <v>25</v>
      </c>
      <c r="I314" s="425">
        <v>466.24</v>
      </c>
      <c r="J314" s="425">
        <v>466.24</v>
      </c>
      <c r="K314" s="421">
        <f t="shared" si="4"/>
        <v>7.8555237625651235E-5</v>
      </c>
    </row>
    <row r="315" spans="1:11" s="237" customFormat="1" ht="42.75">
      <c r="A315" s="422" t="s">
        <v>865</v>
      </c>
      <c r="B315" s="423" t="s">
        <v>989</v>
      </c>
      <c r="C315" s="423" t="s">
        <v>1099</v>
      </c>
      <c r="D315" s="422" t="s">
        <v>988</v>
      </c>
      <c r="E315" s="423" t="s">
        <v>1452</v>
      </c>
      <c r="F315" s="424">
        <v>79</v>
      </c>
      <c r="G315" s="425">
        <v>4.6500000000000004</v>
      </c>
      <c r="H315" s="424">
        <v>25</v>
      </c>
      <c r="I315" s="425">
        <v>5.81</v>
      </c>
      <c r="J315" s="425">
        <v>458.99</v>
      </c>
      <c r="K315" s="421">
        <f t="shared" si="4"/>
        <v>7.7333709072146661E-5</v>
      </c>
    </row>
    <row r="316" spans="1:11" s="237" customFormat="1" ht="42.75">
      <c r="A316" s="422" t="s">
        <v>859</v>
      </c>
      <c r="B316" s="423" t="s">
        <v>985</v>
      </c>
      <c r="C316" s="423" t="s">
        <v>1099</v>
      </c>
      <c r="D316" s="422" t="s">
        <v>2017</v>
      </c>
      <c r="E316" s="423" t="s">
        <v>1403</v>
      </c>
      <c r="F316" s="424">
        <v>18</v>
      </c>
      <c r="G316" s="425">
        <v>20.23</v>
      </c>
      <c r="H316" s="424">
        <v>25</v>
      </c>
      <c r="I316" s="425">
        <v>25.29</v>
      </c>
      <c r="J316" s="425">
        <v>455.22</v>
      </c>
      <c r="K316" s="421">
        <f t="shared" si="4"/>
        <v>7.6698514224324285E-5</v>
      </c>
    </row>
    <row r="317" spans="1:11" s="237" customFormat="1" ht="28.5">
      <c r="A317" s="422" t="s">
        <v>349</v>
      </c>
      <c r="B317" s="423" t="s">
        <v>1488</v>
      </c>
      <c r="C317" s="423" t="s">
        <v>1400</v>
      </c>
      <c r="D317" s="422" t="s">
        <v>1489</v>
      </c>
      <c r="E317" s="423" t="s">
        <v>1398</v>
      </c>
      <c r="F317" s="424">
        <v>6.2</v>
      </c>
      <c r="G317" s="425">
        <v>57.78</v>
      </c>
      <c r="H317" s="424">
        <v>25</v>
      </c>
      <c r="I317" s="425">
        <v>72.23</v>
      </c>
      <c r="J317" s="425">
        <v>447.83</v>
      </c>
      <c r="K317" s="421">
        <f t="shared" si="4"/>
        <v>7.5453397533234789E-5</v>
      </c>
    </row>
    <row r="318" spans="1:11" s="237" customFormat="1" ht="28.5">
      <c r="A318" s="422" t="s">
        <v>777</v>
      </c>
      <c r="B318" s="423" t="s">
        <v>1052</v>
      </c>
      <c r="C318" s="423" t="s">
        <v>1396</v>
      </c>
      <c r="D318" s="422" t="s">
        <v>1051</v>
      </c>
      <c r="E318" s="423" t="s">
        <v>1403</v>
      </c>
      <c r="F318" s="424">
        <v>20</v>
      </c>
      <c r="G318" s="425">
        <v>17.59</v>
      </c>
      <c r="H318" s="424">
        <v>25</v>
      </c>
      <c r="I318" s="425">
        <v>21.99</v>
      </c>
      <c r="J318" s="425">
        <v>439.8</v>
      </c>
      <c r="K318" s="421">
        <f t="shared" si="4"/>
        <v>7.4100449356042839E-5</v>
      </c>
    </row>
    <row r="319" spans="1:11" s="237" customFormat="1" ht="28.5">
      <c r="A319" s="422" t="s">
        <v>1342</v>
      </c>
      <c r="B319" s="423" t="s">
        <v>1711</v>
      </c>
      <c r="C319" s="423" t="s">
        <v>1400</v>
      </c>
      <c r="D319" s="422" t="s">
        <v>1712</v>
      </c>
      <c r="E319" s="423" t="s">
        <v>1403</v>
      </c>
      <c r="F319" s="424">
        <v>1</v>
      </c>
      <c r="G319" s="425">
        <v>333.66</v>
      </c>
      <c r="H319" s="424">
        <v>25</v>
      </c>
      <c r="I319" s="425">
        <v>417.08</v>
      </c>
      <c r="J319" s="425">
        <v>417.08</v>
      </c>
      <c r="K319" s="421">
        <f t="shared" si="4"/>
        <v>7.0272431599405054E-5</v>
      </c>
    </row>
    <row r="320" spans="1:11" s="237" customFormat="1" ht="42.75">
      <c r="A320" s="422" t="s">
        <v>244</v>
      </c>
      <c r="B320" s="423" t="s">
        <v>1807</v>
      </c>
      <c r="C320" s="423" t="s">
        <v>1400</v>
      </c>
      <c r="D320" s="422" t="s">
        <v>1808</v>
      </c>
      <c r="E320" s="423" t="s">
        <v>1403</v>
      </c>
      <c r="F320" s="424">
        <v>2</v>
      </c>
      <c r="G320" s="425">
        <v>164.41</v>
      </c>
      <c r="H320" s="424">
        <v>25</v>
      </c>
      <c r="I320" s="425">
        <v>205.51</v>
      </c>
      <c r="J320" s="425">
        <v>411.02</v>
      </c>
      <c r="K320" s="421">
        <f t="shared" si="4"/>
        <v>6.9251402215372273E-5</v>
      </c>
    </row>
    <row r="321" spans="1:11" s="237" customFormat="1" ht="42.75">
      <c r="A321" s="422" t="s">
        <v>838</v>
      </c>
      <c r="B321" s="423" t="s">
        <v>1995</v>
      </c>
      <c r="C321" s="423" t="s">
        <v>1400</v>
      </c>
      <c r="D321" s="422" t="s">
        <v>1996</v>
      </c>
      <c r="E321" s="423" t="s">
        <v>1416</v>
      </c>
      <c r="F321" s="424">
        <v>16.88</v>
      </c>
      <c r="G321" s="425">
        <v>19.309999999999999</v>
      </c>
      <c r="H321" s="424">
        <v>25</v>
      </c>
      <c r="I321" s="425">
        <v>24.14</v>
      </c>
      <c r="J321" s="425">
        <v>407.48</v>
      </c>
      <c r="K321" s="421">
        <f t="shared" si="4"/>
        <v>6.8654959307867976E-5</v>
      </c>
    </row>
    <row r="322" spans="1:11" s="237" customFormat="1" ht="42.75">
      <c r="A322" s="422" t="s">
        <v>615</v>
      </c>
      <c r="B322" s="423" t="s">
        <v>1735</v>
      </c>
      <c r="C322" s="423" t="s">
        <v>1400</v>
      </c>
      <c r="D322" s="422" t="s">
        <v>1736</v>
      </c>
      <c r="E322" s="423" t="s">
        <v>1403</v>
      </c>
      <c r="F322" s="424">
        <v>10</v>
      </c>
      <c r="G322" s="425">
        <v>32.020000000000003</v>
      </c>
      <c r="H322" s="424">
        <v>25</v>
      </c>
      <c r="I322" s="425">
        <v>40.03</v>
      </c>
      <c r="J322" s="425">
        <v>400.3</v>
      </c>
      <c r="K322" s="421">
        <f t="shared" si="4"/>
        <v>6.7445224823155863E-5</v>
      </c>
    </row>
    <row r="323" spans="1:11" s="237" customFormat="1" ht="42.75">
      <c r="A323" s="422" t="s">
        <v>552</v>
      </c>
      <c r="B323" s="423" t="s">
        <v>1652</v>
      </c>
      <c r="C323" s="423" t="s">
        <v>1400</v>
      </c>
      <c r="D323" s="422" t="s">
        <v>1653</v>
      </c>
      <c r="E323" s="423" t="s">
        <v>1403</v>
      </c>
      <c r="F323" s="424">
        <v>20</v>
      </c>
      <c r="G323" s="425">
        <v>15.86</v>
      </c>
      <c r="H323" s="424">
        <v>25</v>
      </c>
      <c r="I323" s="425">
        <v>19.829999999999998</v>
      </c>
      <c r="J323" s="425">
        <v>396.6</v>
      </c>
      <c r="K323" s="421">
        <f t="shared" si="4"/>
        <v>6.6821824044125948E-5</v>
      </c>
    </row>
    <row r="324" spans="1:11" s="237" customFormat="1" ht="42.75">
      <c r="A324" s="422" t="s">
        <v>768</v>
      </c>
      <c r="B324" s="423" t="s">
        <v>1924</v>
      </c>
      <c r="C324" s="423" t="s">
        <v>1400</v>
      </c>
      <c r="D324" s="422" t="s">
        <v>1925</v>
      </c>
      <c r="E324" s="423" t="s">
        <v>1403</v>
      </c>
      <c r="F324" s="424">
        <v>13</v>
      </c>
      <c r="G324" s="425">
        <v>23.04</v>
      </c>
      <c r="H324" s="424">
        <v>25</v>
      </c>
      <c r="I324" s="425">
        <v>28.8</v>
      </c>
      <c r="J324" s="425">
        <v>374.4</v>
      </c>
      <c r="K324" s="421">
        <f t="shared" si="4"/>
        <v>6.3081419369946418E-5</v>
      </c>
    </row>
    <row r="325" spans="1:11" s="237" customFormat="1" ht="28.5">
      <c r="A325" s="422" t="s">
        <v>308</v>
      </c>
      <c r="B325" s="423" t="s">
        <v>1444</v>
      </c>
      <c r="C325" s="423" t="s">
        <v>1400</v>
      </c>
      <c r="D325" s="422" t="s">
        <v>1445</v>
      </c>
      <c r="E325" s="423" t="s">
        <v>1398</v>
      </c>
      <c r="F325" s="424">
        <v>9</v>
      </c>
      <c r="G325" s="425">
        <v>32.74</v>
      </c>
      <c r="H325" s="424">
        <v>25</v>
      </c>
      <c r="I325" s="425">
        <v>40.93</v>
      </c>
      <c r="J325" s="425">
        <v>368.37</v>
      </c>
      <c r="K325" s="421">
        <f t="shared" si="4"/>
        <v>6.2065444586824694E-5</v>
      </c>
    </row>
    <row r="326" spans="1:11" s="237" customFormat="1" ht="28.5">
      <c r="A326" s="422" t="s">
        <v>752</v>
      </c>
      <c r="B326" s="423" t="s">
        <v>1908</v>
      </c>
      <c r="C326" s="423" t="s">
        <v>1400</v>
      </c>
      <c r="D326" s="422" t="s">
        <v>1909</v>
      </c>
      <c r="E326" s="423" t="s">
        <v>1403</v>
      </c>
      <c r="F326" s="424">
        <v>4</v>
      </c>
      <c r="G326" s="425">
        <v>72.81</v>
      </c>
      <c r="H326" s="424">
        <v>25</v>
      </c>
      <c r="I326" s="425">
        <v>91.01</v>
      </c>
      <c r="J326" s="425">
        <v>364.04</v>
      </c>
      <c r="K326" s="421">
        <f t="shared" si="4"/>
        <v>6.1335897188662659E-5</v>
      </c>
    </row>
    <row r="327" spans="1:11" s="237" customFormat="1" ht="42.75">
      <c r="A327" s="422" t="s">
        <v>727</v>
      </c>
      <c r="B327" s="423" t="s">
        <v>978</v>
      </c>
      <c r="C327" s="423" t="s">
        <v>1099</v>
      </c>
      <c r="D327" s="422" t="s">
        <v>1880</v>
      </c>
      <c r="E327" s="423" t="s">
        <v>1403</v>
      </c>
      <c r="F327" s="424">
        <v>3</v>
      </c>
      <c r="G327" s="425">
        <v>95.56</v>
      </c>
      <c r="H327" s="424">
        <v>25</v>
      </c>
      <c r="I327" s="425">
        <v>119.45</v>
      </c>
      <c r="J327" s="425">
        <v>358.35</v>
      </c>
      <c r="K327" s="421">
        <f t="shared" si="4"/>
        <v>6.0377207882532858E-5</v>
      </c>
    </row>
    <row r="328" spans="1:11" s="237" customFormat="1" ht="42.75">
      <c r="A328" s="422" t="s">
        <v>775</v>
      </c>
      <c r="B328" s="423" t="s">
        <v>1934</v>
      </c>
      <c r="C328" s="423" t="s">
        <v>1400</v>
      </c>
      <c r="D328" s="422" t="s">
        <v>1935</v>
      </c>
      <c r="E328" s="423" t="s">
        <v>1403</v>
      </c>
      <c r="F328" s="424">
        <v>18</v>
      </c>
      <c r="G328" s="425">
        <v>15.91</v>
      </c>
      <c r="H328" s="424">
        <v>25</v>
      </c>
      <c r="I328" s="425">
        <v>19.89</v>
      </c>
      <c r="J328" s="425">
        <v>358.02</v>
      </c>
      <c r="K328" s="421">
        <f t="shared" si="4"/>
        <v>6.0321607272511269E-5</v>
      </c>
    </row>
    <row r="329" spans="1:11" s="237" customFormat="1" ht="42.75">
      <c r="A329" s="422" t="s">
        <v>529</v>
      </c>
      <c r="B329" s="423" t="s">
        <v>1631</v>
      </c>
      <c r="C329" s="423" t="s">
        <v>1400</v>
      </c>
      <c r="D329" s="422" t="s">
        <v>1632</v>
      </c>
      <c r="E329" s="423" t="s">
        <v>1403</v>
      </c>
      <c r="F329" s="424">
        <v>4</v>
      </c>
      <c r="G329" s="425">
        <v>67.38</v>
      </c>
      <c r="H329" s="424">
        <v>25</v>
      </c>
      <c r="I329" s="425">
        <v>84.23</v>
      </c>
      <c r="J329" s="425">
        <v>336.92</v>
      </c>
      <c r="K329" s="421">
        <f t="shared" si="4"/>
        <v>5.6766537965070384E-5</v>
      </c>
    </row>
    <row r="330" spans="1:11" s="237" customFormat="1" ht="42.75">
      <c r="A330" s="422" t="s">
        <v>613</v>
      </c>
      <c r="B330" s="423" t="s">
        <v>1733</v>
      </c>
      <c r="C330" s="423" t="s">
        <v>1400</v>
      </c>
      <c r="D330" s="422" t="s">
        <v>1734</v>
      </c>
      <c r="E330" s="423" t="s">
        <v>1403</v>
      </c>
      <c r="F330" s="424">
        <v>10</v>
      </c>
      <c r="G330" s="425">
        <v>26.71</v>
      </c>
      <c r="H330" s="424">
        <v>25</v>
      </c>
      <c r="I330" s="425">
        <v>33.39</v>
      </c>
      <c r="J330" s="425">
        <v>333.9</v>
      </c>
      <c r="K330" s="421">
        <f t="shared" si="4"/>
        <v>5.6257708140024335E-5</v>
      </c>
    </row>
    <row r="331" spans="1:11" s="237" customFormat="1" ht="42.75">
      <c r="A331" s="422" t="s">
        <v>590</v>
      </c>
      <c r="B331" s="423" t="s">
        <v>1689</v>
      </c>
      <c r="C331" s="423" t="s">
        <v>1400</v>
      </c>
      <c r="D331" s="422" t="s">
        <v>1690</v>
      </c>
      <c r="E331" s="423" t="s">
        <v>1403</v>
      </c>
      <c r="F331" s="424">
        <v>4</v>
      </c>
      <c r="G331" s="425">
        <v>66.3</v>
      </c>
      <c r="H331" s="424">
        <v>25</v>
      </c>
      <c r="I331" s="425">
        <v>82.88</v>
      </c>
      <c r="J331" s="425">
        <v>331.52</v>
      </c>
      <c r="K331" s="421">
        <f t="shared" si="4"/>
        <v>5.5856709801080761E-5</v>
      </c>
    </row>
    <row r="332" spans="1:11" s="237" customFormat="1" ht="42.75">
      <c r="A332" s="422" t="s">
        <v>655</v>
      </c>
      <c r="B332" s="423" t="s">
        <v>1776</v>
      </c>
      <c r="C332" s="423" t="s">
        <v>1400</v>
      </c>
      <c r="D332" s="422" t="s">
        <v>1777</v>
      </c>
      <c r="E332" s="423" t="s">
        <v>1403</v>
      </c>
      <c r="F332" s="424">
        <v>2</v>
      </c>
      <c r="G332" s="425">
        <v>130.65</v>
      </c>
      <c r="H332" s="424">
        <v>25</v>
      </c>
      <c r="I332" s="425">
        <v>163.31</v>
      </c>
      <c r="J332" s="425">
        <v>326.62</v>
      </c>
      <c r="K332" s="421">
        <f t="shared" si="4"/>
        <v>5.5031124985608711E-5</v>
      </c>
    </row>
    <row r="333" spans="1:11" s="237" customFormat="1" ht="28.5">
      <c r="A333" s="422" t="s">
        <v>306</v>
      </c>
      <c r="B333" s="423" t="s">
        <v>1263</v>
      </c>
      <c r="C333" s="423" t="s">
        <v>1396</v>
      </c>
      <c r="D333" s="422" t="s">
        <v>994</v>
      </c>
      <c r="E333" s="423" t="s">
        <v>1403</v>
      </c>
      <c r="F333" s="424">
        <v>2</v>
      </c>
      <c r="G333" s="425">
        <v>127.16</v>
      </c>
      <c r="H333" s="424">
        <v>25</v>
      </c>
      <c r="I333" s="425">
        <v>158.94999999999999</v>
      </c>
      <c r="J333" s="425">
        <v>317.89999999999998</v>
      </c>
      <c r="K333" s="421">
        <f t="shared" si="4"/>
        <v>5.356192098746252E-5</v>
      </c>
    </row>
    <row r="334" spans="1:11" s="237" customFormat="1" ht="42.75">
      <c r="A334" s="422" t="s">
        <v>682</v>
      </c>
      <c r="B334" s="423" t="s">
        <v>1846</v>
      </c>
      <c r="C334" s="423" t="s">
        <v>1400</v>
      </c>
      <c r="D334" s="422" t="s">
        <v>1847</v>
      </c>
      <c r="E334" s="423" t="s">
        <v>1403</v>
      </c>
      <c r="F334" s="424">
        <v>3</v>
      </c>
      <c r="G334" s="425">
        <v>84.43</v>
      </c>
      <c r="H334" s="424">
        <v>25</v>
      </c>
      <c r="I334" s="425">
        <v>105.54</v>
      </c>
      <c r="J334" s="425">
        <v>316.62</v>
      </c>
      <c r="K334" s="421">
        <f t="shared" si="4"/>
        <v>5.3346258015257577E-5</v>
      </c>
    </row>
    <row r="335" spans="1:11" s="237" customFormat="1" ht="42.75">
      <c r="A335" s="422" t="s">
        <v>633</v>
      </c>
      <c r="B335" s="423" t="s">
        <v>1751</v>
      </c>
      <c r="C335" s="423" t="s">
        <v>1400</v>
      </c>
      <c r="D335" s="422" t="s">
        <v>1752</v>
      </c>
      <c r="E335" s="423" t="s">
        <v>1403</v>
      </c>
      <c r="F335" s="424">
        <v>5</v>
      </c>
      <c r="G335" s="425">
        <v>50.11</v>
      </c>
      <c r="H335" s="424">
        <v>25</v>
      </c>
      <c r="I335" s="425">
        <v>62.64</v>
      </c>
      <c r="J335" s="425">
        <v>313.2</v>
      </c>
      <c r="K335" s="421">
        <f t="shared" ref="K335:K398" si="5">J335/$J$436</f>
        <v>5.2770033511397492E-5</v>
      </c>
    </row>
    <row r="336" spans="1:11" s="237" customFormat="1" ht="42.75">
      <c r="A336" s="422" t="s">
        <v>554</v>
      </c>
      <c r="B336" s="423" t="s">
        <v>1654</v>
      </c>
      <c r="C336" s="423" t="s">
        <v>1400</v>
      </c>
      <c r="D336" s="422" t="s">
        <v>1655</v>
      </c>
      <c r="E336" s="423" t="s">
        <v>1403</v>
      </c>
      <c r="F336" s="424">
        <v>12</v>
      </c>
      <c r="G336" s="425">
        <v>20.86</v>
      </c>
      <c r="H336" s="424">
        <v>25</v>
      </c>
      <c r="I336" s="425">
        <v>26.08</v>
      </c>
      <c r="J336" s="425">
        <v>312.95999999999998</v>
      </c>
      <c r="K336" s="421">
        <f t="shared" si="5"/>
        <v>5.272959670410906E-5</v>
      </c>
    </row>
    <row r="337" spans="1:11" s="237" customFormat="1" ht="28.5">
      <c r="A337" s="422" t="s">
        <v>353</v>
      </c>
      <c r="B337" s="423" t="s">
        <v>1492</v>
      </c>
      <c r="C337" s="423" t="s">
        <v>1400</v>
      </c>
      <c r="D337" s="422" t="s">
        <v>1493</v>
      </c>
      <c r="E337" s="423" t="s">
        <v>1398</v>
      </c>
      <c r="F337" s="424">
        <v>5.15</v>
      </c>
      <c r="G337" s="425">
        <v>48.16</v>
      </c>
      <c r="H337" s="424">
        <v>25</v>
      </c>
      <c r="I337" s="425">
        <v>60.2</v>
      </c>
      <c r="J337" s="425">
        <v>310.02999999999997</v>
      </c>
      <c r="K337" s="421">
        <f t="shared" si="5"/>
        <v>5.223593068179618E-5</v>
      </c>
    </row>
    <row r="338" spans="1:11" s="237" customFormat="1" ht="42.75">
      <c r="A338" s="422" t="s">
        <v>346</v>
      </c>
      <c r="B338" s="423" t="s">
        <v>1482</v>
      </c>
      <c r="C338" s="423" t="s">
        <v>1400</v>
      </c>
      <c r="D338" s="422" t="s">
        <v>1483</v>
      </c>
      <c r="E338" s="423" t="s">
        <v>1422</v>
      </c>
      <c r="F338" s="424">
        <v>0.51</v>
      </c>
      <c r="G338" s="425">
        <v>478.6</v>
      </c>
      <c r="H338" s="424">
        <v>25</v>
      </c>
      <c r="I338" s="425">
        <v>598.25</v>
      </c>
      <c r="J338" s="425">
        <v>305.11</v>
      </c>
      <c r="K338" s="421">
        <f t="shared" si="5"/>
        <v>5.1406976132383428E-5</v>
      </c>
    </row>
    <row r="339" spans="1:11" s="237" customFormat="1" ht="42.75">
      <c r="A339" s="422" t="s">
        <v>764</v>
      </c>
      <c r="B339" s="423" t="s">
        <v>1922</v>
      </c>
      <c r="C339" s="423" t="s">
        <v>1400</v>
      </c>
      <c r="D339" s="422" t="s">
        <v>1923</v>
      </c>
      <c r="E339" s="423" t="s">
        <v>1416</v>
      </c>
      <c r="F339" s="424">
        <v>11.71</v>
      </c>
      <c r="G339" s="425">
        <v>20.67</v>
      </c>
      <c r="H339" s="424">
        <v>25</v>
      </c>
      <c r="I339" s="425">
        <v>25.84</v>
      </c>
      <c r="J339" s="425">
        <v>302.58999999999997</v>
      </c>
      <c r="K339" s="421">
        <f t="shared" si="5"/>
        <v>5.0982389655854933E-5</v>
      </c>
    </row>
    <row r="340" spans="1:11" s="237" customFormat="1" ht="42.75">
      <c r="A340" s="422" t="s">
        <v>681</v>
      </c>
      <c r="B340" s="423" t="s">
        <v>1844</v>
      </c>
      <c r="C340" s="423" t="s">
        <v>1400</v>
      </c>
      <c r="D340" s="422" t="s">
        <v>1845</v>
      </c>
      <c r="E340" s="423" t="s">
        <v>1403</v>
      </c>
      <c r="F340" s="424">
        <v>6</v>
      </c>
      <c r="G340" s="425">
        <v>40.200000000000003</v>
      </c>
      <c r="H340" s="424">
        <v>25</v>
      </c>
      <c r="I340" s="425">
        <v>50.25</v>
      </c>
      <c r="J340" s="425">
        <v>301.5</v>
      </c>
      <c r="K340" s="421">
        <f t="shared" si="5"/>
        <v>5.0798739156086663E-5</v>
      </c>
    </row>
    <row r="341" spans="1:11" s="237" customFormat="1" ht="42.75">
      <c r="A341" s="422" t="s">
        <v>758</v>
      </c>
      <c r="B341" s="423" t="s">
        <v>1914</v>
      </c>
      <c r="C341" s="423" t="s">
        <v>1400</v>
      </c>
      <c r="D341" s="422" t="s">
        <v>1915</v>
      </c>
      <c r="E341" s="423" t="s">
        <v>1416</v>
      </c>
      <c r="F341" s="424">
        <v>10.68</v>
      </c>
      <c r="G341" s="425">
        <v>22.33</v>
      </c>
      <c r="H341" s="424">
        <v>25</v>
      </c>
      <c r="I341" s="425">
        <v>27.91</v>
      </c>
      <c r="J341" s="425">
        <v>298.08</v>
      </c>
      <c r="K341" s="421">
        <f t="shared" si="5"/>
        <v>5.0222514652226578E-5</v>
      </c>
    </row>
    <row r="342" spans="1:11" s="237" customFormat="1" ht="42.75">
      <c r="A342" s="422" t="s">
        <v>640</v>
      </c>
      <c r="B342" s="423" t="s">
        <v>1760</v>
      </c>
      <c r="C342" s="423" t="s">
        <v>1400</v>
      </c>
      <c r="D342" s="422" t="s">
        <v>1761</v>
      </c>
      <c r="E342" s="423" t="s">
        <v>1403</v>
      </c>
      <c r="F342" s="424">
        <v>7</v>
      </c>
      <c r="G342" s="425">
        <v>33.78</v>
      </c>
      <c r="H342" s="424">
        <v>25</v>
      </c>
      <c r="I342" s="425">
        <v>42.23</v>
      </c>
      <c r="J342" s="425">
        <v>295.61</v>
      </c>
      <c r="K342" s="421">
        <f t="shared" si="5"/>
        <v>4.9806352510549848E-5</v>
      </c>
    </row>
    <row r="343" spans="1:11" s="237" customFormat="1" ht="42.75">
      <c r="A343" s="422" t="s">
        <v>594</v>
      </c>
      <c r="B343" s="423" t="s">
        <v>1693</v>
      </c>
      <c r="C343" s="423" t="s">
        <v>1400</v>
      </c>
      <c r="D343" s="422" t="s">
        <v>1694</v>
      </c>
      <c r="E343" s="423" t="s">
        <v>1403</v>
      </c>
      <c r="F343" s="424">
        <v>2</v>
      </c>
      <c r="G343" s="425">
        <v>116.81</v>
      </c>
      <c r="H343" s="424">
        <v>25</v>
      </c>
      <c r="I343" s="425">
        <v>146.01</v>
      </c>
      <c r="J343" s="425">
        <v>292.02</v>
      </c>
      <c r="K343" s="421">
        <f t="shared" si="5"/>
        <v>4.9201485268193784E-5</v>
      </c>
    </row>
    <row r="344" spans="1:11" s="237" customFormat="1" ht="42.75">
      <c r="A344" s="422" t="s">
        <v>772</v>
      </c>
      <c r="B344" s="423" t="s">
        <v>1930</v>
      </c>
      <c r="C344" s="423" t="s">
        <v>1400</v>
      </c>
      <c r="D344" s="422" t="s">
        <v>1931</v>
      </c>
      <c r="E344" s="423" t="s">
        <v>1403</v>
      </c>
      <c r="F344" s="424">
        <v>9</v>
      </c>
      <c r="G344" s="425">
        <v>25.01</v>
      </c>
      <c r="H344" s="424">
        <v>25</v>
      </c>
      <c r="I344" s="425">
        <v>31.26</v>
      </c>
      <c r="J344" s="425">
        <v>281.33999999999997</v>
      </c>
      <c r="K344" s="421">
        <f t="shared" si="5"/>
        <v>4.7402047343858778E-5</v>
      </c>
    </row>
    <row r="345" spans="1:11" s="237" customFormat="1" ht="28.5">
      <c r="A345" s="422" t="s">
        <v>907</v>
      </c>
      <c r="B345" s="423" t="s">
        <v>1993</v>
      </c>
      <c r="C345" s="423" t="s">
        <v>1099</v>
      </c>
      <c r="D345" s="422" t="s">
        <v>1994</v>
      </c>
      <c r="E345" s="423" t="s">
        <v>1403</v>
      </c>
      <c r="F345" s="424">
        <v>15</v>
      </c>
      <c r="G345" s="425">
        <v>14.56</v>
      </c>
      <c r="H345" s="424">
        <v>25</v>
      </c>
      <c r="I345" s="425">
        <v>18.2</v>
      </c>
      <c r="J345" s="425">
        <v>273</v>
      </c>
      <c r="K345" s="421">
        <f t="shared" si="5"/>
        <v>4.5996868290585934E-5</v>
      </c>
    </row>
    <row r="346" spans="1:11" s="237" customFormat="1" ht="42.75">
      <c r="A346" s="422" t="s">
        <v>915</v>
      </c>
      <c r="B346" s="423" t="s">
        <v>1494</v>
      </c>
      <c r="C346" s="423" t="s">
        <v>1400</v>
      </c>
      <c r="D346" s="422" t="s">
        <v>1495</v>
      </c>
      <c r="E346" s="423" t="s">
        <v>1422</v>
      </c>
      <c r="F346" s="424">
        <v>10.55</v>
      </c>
      <c r="G346" s="425">
        <v>20.43</v>
      </c>
      <c r="H346" s="424">
        <v>25</v>
      </c>
      <c r="I346" s="425">
        <v>25.54</v>
      </c>
      <c r="J346" s="425">
        <v>269.45</v>
      </c>
      <c r="K346" s="421">
        <f t="shared" si="5"/>
        <v>4.5398740516111282E-5</v>
      </c>
    </row>
    <row r="347" spans="1:11" s="237" customFormat="1" ht="42.75">
      <c r="A347" s="422" t="s">
        <v>1368</v>
      </c>
      <c r="B347" s="423" t="s">
        <v>1733</v>
      </c>
      <c r="C347" s="423" t="s">
        <v>1400</v>
      </c>
      <c r="D347" s="422" t="s">
        <v>1734</v>
      </c>
      <c r="E347" s="423" t="s">
        <v>1403</v>
      </c>
      <c r="F347" s="424">
        <v>8</v>
      </c>
      <c r="G347" s="425">
        <v>26.71</v>
      </c>
      <c r="H347" s="424">
        <v>25</v>
      </c>
      <c r="I347" s="425">
        <v>33.39</v>
      </c>
      <c r="J347" s="425">
        <v>267.12</v>
      </c>
      <c r="K347" s="421">
        <f t="shared" si="5"/>
        <v>4.5006166512019473E-5</v>
      </c>
    </row>
    <row r="348" spans="1:11" s="237" customFormat="1" ht="42.75">
      <c r="A348" s="422" t="s">
        <v>575</v>
      </c>
      <c r="B348" s="423" t="s">
        <v>1675</v>
      </c>
      <c r="C348" s="423" t="s">
        <v>1400</v>
      </c>
      <c r="D348" s="422" t="s">
        <v>1676</v>
      </c>
      <c r="E348" s="423" t="s">
        <v>1403</v>
      </c>
      <c r="F348" s="424">
        <v>20</v>
      </c>
      <c r="G348" s="425">
        <v>10.46</v>
      </c>
      <c r="H348" s="424">
        <v>25</v>
      </c>
      <c r="I348" s="425">
        <v>13.08</v>
      </c>
      <c r="J348" s="425">
        <v>261.60000000000002</v>
      </c>
      <c r="K348" s="421">
        <f t="shared" si="5"/>
        <v>4.4076119944385651E-5</v>
      </c>
    </row>
    <row r="349" spans="1:11" s="237" customFormat="1" ht="42.75">
      <c r="A349" s="422" t="s">
        <v>526</v>
      </c>
      <c r="B349" s="423" t="s">
        <v>1627</v>
      </c>
      <c r="C349" s="423" t="s">
        <v>1400</v>
      </c>
      <c r="D349" s="422" t="s">
        <v>1628</v>
      </c>
      <c r="E349" s="423" t="s">
        <v>1403</v>
      </c>
      <c r="F349" s="424">
        <v>10</v>
      </c>
      <c r="G349" s="425">
        <v>20.43</v>
      </c>
      <c r="H349" s="424">
        <v>25</v>
      </c>
      <c r="I349" s="425">
        <v>25.54</v>
      </c>
      <c r="J349" s="425">
        <v>255.4</v>
      </c>
      <c r="K349" s="421">
        <f t="shared" si="5"/>
        <v>4.3031502422767942E-5</v>
      </c>
    </row>
    <row r="350" spans="1:11" s="237" customFormat="1" ht="28.5">
      <c r="A350" s="422" t="s">
        <v>920</v>
      </c>
      <c r="B350" s="423" t="s">
        <v>1469</v>
      </c>
      <c r="C350" s="423" t="s">
        <v>1400</v>
      </c>
      <c r="D350" s="422" t="s">
        <v>1470</v>
      </c>
      <c r="E350" s="423" t="s">
        <v>1398</v>
      </c>
      <c r="F350" s="424">
        <v>5.76</v>
      </c>
      <c r="G350" s="425">
        <v>34.42</v>
      </c>
      <c r="H350" s="424">
        <v>25</v>
      </c>
      <c r="I350" s="425">
        <v>43.03</v>
      </c>
      <c r="J350" s="425">
        <v>247.85</v>
      </c>
      <c r="K350" s="421">
        <f t="shared" si="5"/>
        <v>4.1759427860152836E-5</v>
      </c>
    </row>
    <row r="351" spans="1:11" s="237" customFormat="1" ht="28.5">
      <c r="A351" s="422" t="s">
        <v>598</v>
      </c>
      <c r="B351" s="423" t="s">
        <v>1697</v>
      </c>
      <c r="C351" s="423" t="s">
        <v>1400</v>
      </c>
      <c r="D351" s="422" t="s">
        <v>1698</v>
      </c>
      <c r="E351" s="423" t="s">
        <v>1403</v>
      </c>
      <c r="F351" s="424">
        <v>1</v>
      </c>
      <c r="G351" s="425">
        <v>196.73</v>
      </c>
      <c r="H351" s="424">
        <v>25</v>
      </c>
      <c r="I351" s="425">
        <v>245.91</v>
      </c>
      <c r="J351" s="425">
        <v>245.91</v>
      </c>
      <c r="K351" s="421">
        <f t="shared" si="5"/>
        <v>4.1432563667904716E-5</v>
      </c>
    </row>
    <row r="352" spans="1:11" s="237" customFormat="1" ht="57">
      <c r="A352" s="422" t="s">
        <v>794</v>
      </c>
      <c r="B352" s="423" t="s">
        <v>1948</v>
      </c>
      <c r="C352" s="423" t="s">
        <v>1400</v>
      </c>
      <c r="D352" s="422" t="s">
        <v>1949</v>
      </c>
      <c r="E352" s="423" t="s">
        <v>1416</v>
      </c>
      <c r="F352" s="424">
        <v>6.87</v>
      </c>
      <c r="G352" s="425">
        <v>25.63</v>
      </c>
      <c r="H352" s="424">
        <v>25</v>
      </c>
      <c r="I352" s="425">
        <v>32.04</v>
      </c>
      <c r="J352" s="425">
        <v>220.11</v>
      </c>
      <c r="K352" s="421">
        <f t="shared" si="5"/>
        <v>3.7085606884398795E-5</v>
      </c>
    </row>
    <row r="353" spans="1:11" s="237" customFormat="1" ht="28.5">
      <c r="A353" s="422" t="s">
        <v>744</v>
      </c>
      <c r="B353" s="423" t="s">
        <v>1895</v>
      </c>
      <c r="C353" s="423" t="s">
        <v>1396</v>
      </c>
      <c r="D353" s="422" t="s">
        <v>1050</v>
      </c>
      <c r="E353" s="423" t="s">
        <v>1403</v>
      </c>
      <c r="F353" s="424">
        <v>1</v>
      </c>
      <c r="G353" s="425">
        <v>175.21</v>
      </c>
      <c r="H353" s="424">
        <v>25</v>
      </c>
      <c r="I353" s="425">
        <v>219.01</v>
      </c>
      <c r="J353" s="425">
        <v>219.01</v>
      </c>
      <c r="K353" s="421">
        <f t="shared" si="5"/>
        <v>3.6900271517660164E-5</v>
      </c>
    </row>
    <row r="354" spans="1:11" s="237" customFormat="1" ht="42.75">
      <c r="A354" s="422" t="s">
        <v>651</v>
      </c>
      <c r="B354" s="423" t="s">
        <v>1772</v>
      </c>
      <c r="C354" s="423" t="s">
        <v>1400</v>
      </c>
      <c r="D354" s="422" t="s">
        <v>1773</v>
      </c>
      <c r="E354" s="423" t="s">
        <v>1403</v>
      </c>
      <c r="F354" s="424">
        <v>3</v>
      </c>
      <c r="G354" s="425">
        <v>55.61</v>
      </c>
      <c r="H354" s="424">
        <v>25</v>
      </c>
      <c r="I354" s="425">
        <v>69.510000000000005</v>
      </c>
      <c r="J354" s="425">
        <v>208.53</v>
      </c>
      <c r="K354" s="421">
        <f t="shared" si="5"/>
        <v>3.5134530932732179E-5</v>
      </c>
    </row>
    <row r="355" spans="1:11" s="237" customFormat="1" ht="28.5">
      <c r="A355" s="422" t="s">
        <v>743</v>
      </c>
      <c r="B355" s="423" t="s">
        <v>1303</v>
      </c>
      <c r="C355" s="423" t="s">
        <v>1396</v>
      </c>
      <c r="D355" s="422" t="s">
        <v>1302</v>
      </c>
      <c r="E355" s="423" t="s">
        <v>1403</v>
      </c>
      <c r="F355" s="424">
        <v>1</v>
      </c>
      <c r="G355" s="425">
        <v>163.87</v>
      </c>
      <c r="H355" s="424">
        <v>25</v>
      </c>
      <c r="I355" s="425">
        <v>204.84</v>
      </c>
      <c r="J355" s="425">
        <v>204.84</v>
      </c>
      <c r="K355" s="421">
        <f t="shared" si="5"/>
        <v>3.4512815020672612E-5</v>
      </c>
    </row>
    <row r="356" spans="1:11" s="237" customFormat="1" ht="28.5">
      <c r="A356" s="422" t="s">
        <v>753</v>
      </c>
      <c r="B356" s="423" t="s">
        <v>1910</v>
      </c>
      <c r="C356" s="423" t="s">
        <v>1400</v>
      </c>
      <c r="D356" s="422" t="s">
        <v>1911</v>
      </c>
      <c r="E356" s="423" t="s">
        <v>1403</v>
      </c>
      <c r="F356" s="424">
        <v>2</v>
      </c>
      <c r="G356" s="425">
        <v>81.849999999999994</v>
      </c>
      <c r="H356" s="424">
        <v>25</v>
      </c>
      <c r="I356" s="425">
        <v>102.31</v>
      </c>
      <c r="J356" s="425">
        <v>204.62</v>
      </c>
      <c r="K356" s="421">
        <f t="shared" si="5"/>
        <v>3.4475747947324888E-5</v>
      </c>
    </row>
    <row r="357" spans="1:11" s="237" customFormat="1" ht="42.75">
      <c r="A357" s="422" t="s">
        <v>1362</v>
      </c>
      <c r="B357" s="423" t="s">
        <v>1756</v>
      </c>
      <c r="C357" s="423" t="s">
        <v>1400</v>
      </c>
      <c r="D357" s="422" t="s">
        <v>1757</v>
      </c>
      <c r="E357" s="423" t="s">
        <v>1403</v>
      </c>
      <c r="F357" s="424">
        <v>9</v>
      </c>
      <c r="G357" s="425">
        <v>17.2</v>
      </c>
      <c r="H357" s="424">
        <v>25</v>
      </c>
      <c r="I357" s="425">
        <v>21.5</v>
      </c>
      <c r="J357" s="425">
        <v>193.5</v>
      </c>
      <c r="K357" s="421">
        <f t="shared" si="5"/>
        <v>3.2602175876294428E-5</v>
      </c>
    </row>
    <row r="358" spans="1:11" s="237" customFormat="1" ht="42.75">
      <c r="A358" s="422" t="s">
        <v>1356</v>
      </c>
      <c r="B358" s="423" t="s">
        <v>672</v>
      </c>
      <c r="C358" s="423" t="s">
        <v>1400</v>
      </c>
      <c r="D358" s="422" t="s">
        <v>1797</v>
      </c>
      <c r="E358" s="423" t="s">
        <v>1403</v>
      </c>
      <c r="F358" s="424">
        <v>20</v>
      </c>
      <c r="G358" s="425">
        <v>7.28</v>
      </c>
      <c r="H358" s="424">
        <v>25</v>
      </c>
      <c r="I358" s="425">
        <v>9.1</v>
      </c>
      <c r="J358" s="425">
        <v>182</v>
      </c>
      <c r="K358" s="421">
        <f t="shared" si="5"/>
        <v>3.0664578860390621E-5</v>
      </c>
    </row>
    <row r="359" spans="1:11" s="237" customFormat="1" ht="57">
      <c r="A359" s="422" t="s">
        <v>644</v>
      </c>
      <c r="B359" s="423" t="s">
        <v>1764</v>
      </c>
      <c r="C359" s="423" t="s">
        <v>1400</v>
      </c>
      <c r="D359" s="422" t="s">
        <v>1765</v>
      </c>
      <c r="E359" s="423" t="s">
        <v>1403</v>
      </c>
      <c r="F359" s="424">
        <v>6</v>
      </c>
      <c r="G359" s="425">
        <v>24.07</v>
      </c>
      <c r="H359" s="424">
        <v>25</v>
      </c>
      <c r="I359" s="425">
        <v>30.09</v>
      </c>
      <c r="J359" s="425">
        <v>180.54</v>
      </c>
      <c r="K359" s="421">
        <f t="shared" si="5"/>
        <v>3.0418588282719358E-5</v>
      </c>
    </row>
    <row r="360" spans="1:11" s="237" customFormat="1" ht="28.5">
      <c r="A360" s="422" t="s">
        <v>750</v>
      </c>
      <c r="B360" s="423" t="s">
        <v>1900</v>
      </c>
      <c r="C360" s="423" t="s">
        <v>1400</v>
      </c>
      <c r="D360" s="422" t="s">
        <v>1901</v>
      </c>
      <c r="E360" s="423" t="s">
        <v>1403</v>
      </c>
      <c r="F360" s="424">
        <v>11</v>
      </c>
      <c r="G360" s="425">
        <v>12.77</v>
      </c>
      <c r="H360" s="424">
        <v>25</v>
      </c>
      <c r="I360" s="425">
        <v>15.96</v>
      </c>
      <c r="J360" s="425">
        <v>175.56</v>
      </c>
      <c r="K360" s="421">
        <f t="shared" si="5"/>
        <v>2.9579524531484493E-5</v>
      </c>
    </row>
    <row r="361" spans="1:11" s="237" customFormat="1" ht="42.75">
      <c r="A361" s="422" t="s">
        <v>571</v>
      </c>
      <c r="B361" s="423" t="s">
        <v>1671</v>
      </c>
      <c r="C361" s="423" t="s">
        <v>1400</v>
      </c>
      <c r="D361" s="422" t="s">
        <v>1672</v>
      </c>
      <c r="E361" s="423" t="s">
        <v>1403</v>
      </c>
      <c r="F361" s="424">
        <v>2</v>
      </c>
      <c r="G361" s="425">
        <v>68.25</v>
      </c>
      <c r="H361" s="424">
        <v>25</v>
      </c>
      <c r="I361" s="425">
        <v>85.31</v>
      </c>
      <c r="J361" s="425">
        <v>170.62</v>
      </c>
      <c r="K361" s="421">
        <f t="shared" si="5"/>
        <v>2.8747200248131036E-5</v>
      </c>
    </row>
    <row r="362" spans="1:11" s="237" customFormat="1" ht="28.5">
      <c r="A362" s="422" t="s">
        <v>726</v>
      </c>
      <c r="B362" s="423" t="s">
        <v>977</v>
      </c>
      <c r="C362" s="423" t="s">
        <v>1099</v>
      </c>
      <c r="D362" s="422" t="s">
        <v>1879</v>
      </c>
      <c r="E362" s="423" t="s">
        <v>1403</v>
      </c>
      <c r="F362" s="424">
        <v>2</v>
      </c>
      <c r="G362" s="425">
        <v>67.040000000000006</v>
      </c>
      <c r="H362" s="424">
        <v>25</v>
      </c>
      <c r="I362" s="425">
        <v>83.8</v>
      </c>
      <c r="J362" s="425">
        <v>167.6</v>
      </c>
      <c r="K362" s="421">
        <f t="shared" si="5"/>
        <v>2.823837042308499E-5</v>
      </c>
    </row>
    <row r="363" spans="1:11" s="237" customFormat="1" ht="28.5">
      <c r="A363" s="422" t="s">
        <v>842</v>
      </c>
      <c r="B363" s="423" t="s">
        <v>1999</v>
      </c>
      <c r="C363" s="423" t="s">
        <v>1400</v>
      </c>
      <c r="D363" s="422" t="s">
        <v>2000</v>
      </c>
      <c r="E363" s="423" t="s">
        <v>1403</v>
      </c>
      <c r="F363" s="424">
        <v>1</v>
      </c>
      <c r="G363" s="425">
        <v>132.38999999999999</v>
      </c>
      <c r="H363" s="424">
        <v>25</v>
      </c>
      <c r="I363" s="425">
        <v>165.49</v>
      </c>
      <c r="J363" s="425">
        <v>165.49</v>
      </c>
      <c r="K363" s="421">
        <f t="shared" si="5"/>
        <v>2.7882863492340905E-5</v>
      </c>
    </row>
    <row r="364" spans="1:11" s="237" customFormat="1" ht="42.75">
      <c r="A364" s="422" t="s">
        <v>564</v>
      </c>
      <c r="B364" s="423" t="s">
        <v>1664</v>
      </c>
      <c r="C364" s="423" t="s">
        <v>1400</v>
      </c>
      <c r="D364" s="422" t="s">
        <v>1665</v>
      </c>
      <c r="E364" s="423" t="s">
        <v>1403</v>
      </c>
      <c r="F364" s="424">
        <v>9</v>
      </c>
      <c r="G364" s="425">
        <v>14.39</v>
      </c>
      <c r="H364" s="424">
        <v>25</v>
      </c>
      <c r="I364" s="425">
        <v>17.989999999999998</v>
      </c>
      <c r="J364" s="425">
        <v>161.91</v>
      </c>
      <c r="K364" s="421">
        <f t="shared" si="5"/>
        <v>2.7279681116955196E-5</v>
      </c>
    </row>
    <row r="365" spans="1:11" s="237" customFormat="1" ht="42.75">
      <c r="A365" s="422" t="s">
        <v>527</v>
      </c>
      <c r="B365" s="423" t="s">
        <v>1629</v>
      </c>
      <c r="C365" s="423" t="s">
        <v>1400</v>
      </c>
      <c r="D365" s="422" t="s">
        <v>1630</v>
      </c>
      <c r="E365" s="423" t="s">
        <v>1403</v>
      </c>
      <c r="F365" s="424">
        <v>3</v>
      </c>
      <c r="G365" s="425">
        <v>41.91</v>
      </c>
      <c r="H365" s="424">
        <v>25</v>
      </c>
      <c r="I365" s="425">
        <v>52.39</v>
      </c>
      <c r="J365" s="425">
        <v>157.16999999999999</v>
      </c>
      <c r="K365" s="421">
        <f t="shared" si="5"/>
        <v>2.6481054173008757E-5</v>
      </c>
    </row>
    <row r="366" spans="1:11" s="237" customFormat="1" ht="28.5">
      <c r="A366" s="422" t="s">
        <v>402</v>
      </c>
      <c r="B366" s="423" t="s">
        <v>1546</v>
      </c>
      <c r="C366" s="423" t="s">
        <v>1400</v>
      </c>
      <c r="D366" s="422" t="s">
        <v>1547</v>
      </c>
      <c r="E366" s="423" t="s">
        <v>1422</v>
      </c>
      <c r="F366" s="424">
        <v>1.51</v>
      </c>
      <c r="G366" s="425">
        <v>83.25</v>
      </c>
      <c r="H366" s="424">
        <v>25</v>
      </c>
      <c r="I366" s="425">
        <v>104.06</v>
      </c>
      <c r="J366" s="425">
        <v>157.13</v>
      </c>
      <c r="K366" s="421">
        <f t="shared" si="5"/>
        <v>2.6474314705127356E-5</v>
      </c>
    </row>
    <row r="367" spans="1:11" s="237" customFormat="1" ht="42.75">
      <c r="A367" s="422" t="s">
        <v>486</v>
      </c>
      <c r="B367" s="423" t="s">
        <v>1515</v>
      </c>
      <c r="C367" s="423" t="s">
        <v>1400</v>
      </c>
      <c r="D367" s="422" t="s">
        <v>1516</v>
      </c>
      <c r="E367" s="423" t="s">
        <v>1398</v>
      </c>
      <c r="F367" s="424">
        <v>1.28</v>
      </c>
      <c r="G367" s="425">
        <v>96.78</v>
      </c>
      <c r="H367" s="424">
        <v>25</v>
      </c>
      <c r="I367" s="425">
        <v>120.98</v>
      </c>
      <c r="J367" s="425">
        <v>154.85</v>
      </c>
      <c r="K367" s="421">
        <f t="shared" si="5"/>
        <v>2.6090165035887296E-5</v>
      </c>
    </row>
    <row r="368" spans="1:11" s="237" customFormat="1" ht="42.75">
      <c r="A368" s="422" t="s">
        <v>247</v>
      </c>
      <c r="B368" s="423" t="s">
        <v>1819</v>
      </c>
      <c r="C368" s="423" t="s">
        <v>1400</v>
      </c>
      <c r="D368" s="422" t="s">
        <v>1820</v>
      </c>
      <c r="E368" s="423" t="s">
        <v>1403</v>
      </c>
      <c r="F368" s="424">
        <v>1</v>
      </c>
      <c r="G368" s="425">
        <v>120.45</v>
      </c>
      <c r="H368" s="424">
        <v>25</v>
      </c>
      <c r="I368" s="425">
        <v>150.56</v>
      </c>
      <c r="J368" s="425">
        <v>150.56</v>
      </c>
      <c r="K368" s="421">
        <f t="shared" si="5"/>
        <v>2.5367357105606661E-5</v>
      </c>
    </row>
    <row r="369" spans="1:11" s="237" customFormat="1" ht="57">
      <c r="A369" s="422" t="s">
        <v>627</v>
      </c>
      <c r="B369" s="423" t="s">
        <v>1746</v>
      </c>
      <c r="C369" s="423" t="s">
        <v>1400</v>
      </c>
      <c r="D369" s="422" t="s">
        <v>1747</v>
      </c>
      <c r="E369" s="423" t="s">
        <v>1403</v>
      </c>
      <c r="F369" s="424">
        <v>4</v>
      </c>
      <c r="G369" s="425">
        <v>30.04</v>
      </c>
      <c r="H369" s="424">
        <v>25</v>
      </c>
      <c r="I369" s="425">
        <v>37.549999999999997</v>
      </c>
      <c r="J369" s="425">
        <v>150.19999999999999</v>
      </c>
      <c r="K369" s="421">
        <f t="shared" si="5"/>
        <v>2.5306701894674019E-5</v>
      </c>
    </row>
    <row r="370" spans="1:11" s="237" customFormat="1" ht="42.75">
      <c r="A370" s="422" t="s">
        <v>534</v>
      </c>
      <c r="B370" s="423" t="s">
        <v>1637</v>
      </c>
      <c r="C370" s="423" t="s">
        <v>1400</v>
      </c>
      <c r="D370" s="422" t="s">
        <v>1638</v>
      </c>
      <c r="E370" s="423" t="s">
        <v>1403</v>
      </c>
      <c r="F370" s="424">
        <v>4</v>
      </c>
      <c r="G370" s="425">
        <v>29.65</v>
      </c>
      <c r="H370" s="424">
        <v>25</v>
      </c>
      <c r="I370" s="425">
        <v>37.06</v>
      </c>
      <c r="J370" s="425">
        <v>148.24</v>
      </c>
      <c r="K370" s="421">
        <f t="shared" si="5"/>
        <v>2.49764679684852E-5</v>
      </c>
    </row>
    <row r="371" spans="1:11" s="237" customFormat="1" ht="42.75">
      <c r="A371" s="422" t="s">
        <v>521</v>
      </c>
      <c r="B371" s="423" t="s">
        <v>1024</v>
      </c>
      <c r="C371" s="423" t="s">
        <v>1396</v>
      </c>
      <c r="D371" s="422" t="s">
        <v>1624</v>
      </c>
      <c r="E371" s="423" t="s">
        <v>1416</v>
      </c>
      <c r="F371" s="424">
        <v>2.5499999999999998</v>
      </c>
      <c r="G371" s="425">
        <v>46.3</v>
      </c>
      <c r="H371" s="424">
        <v>25</v>
      </c>
      <c r="I371" s="425">
        <v>57.88</v>
      </c>
      <c r="J371" s="425">
        <v>147.59</v>
      </c>
      <c r="K371" s="421">
        <f t="shared" si="5"/>
        <v>2.4866951615412374E-5</v>
      </c>
    </row>
    <row r="372" spans="1:11" s="237" customFormat="1" ht="42.75">
      <c r="A372" s="422" t="s">
        <v>556</v>
      </c>
      <c r="B372" s="423" t="s">
        <v>1656</v>
      </c>
      <c r="C372" s="423" t="s">
        <v>1400</v>
      </c>
      <c r="D372" s="422" t="s">
        <v>1657</v>
      </c>
      <c r="E372" s="423" t="s">
        <v>1403</v>
      </c>
      <c r="F372" s="424">
        <v>7</v>
      </c>
      <c r="G372" s="425">
        <v>16.54</v>
      </c>
      <c r="H372" s="424">
        <v>25</v>
      </c>
      <c r="I372" s="425">
        <v>20.68</v>
      </c>
      <c r="J372" s="425">
        <v>144.76</v>
      </c>
      <c r="K372" s="421">
        <f t="shared" si="5"/>
        <v>2.4390134262803002E-5</v>
      </c>
    </row>
    <row r="373" spans="1:11" s="237" customFormat="1" ht="71.25">
      <c r="A373" s="422" t="s">
        <v>577</v>
      </c>
      <c r="B373" s="423" t="s">
        <v>1677</v>
      </c>
      <c r="C373" s="423" t="s">
        <v>1400</v>
      </c>
      <c r="D373" s="422" t="s">
        <v>1678</v>
      </c>
      <c r="E373" s="423" t="s">
        <v>1403</v>
      </c>
      <c r="F373" s="424">
        <v>8</v>
      </c>
      <c r="G373" s="425">
        <v>14.39</v>
      </c>
      <c r="H373" s="424">
        <v>25</v>
      </c>
      <c r="I373" s="425">
        <v>17.989999999999998</v>
      </c>
      <c r="J373" s="425">
        <v>143.91999999999999</v>
      </c>
      <c r="K373" s="421">
        <f t="shared" si="5"/>
        <v>2.4248605437293506E-5</v>
      </c>
    </row>
    <row r="374" spans="1:11" s="237" customFormat="1" ht="42.75">
      <c r="A374" s="422" t="s">
        <v>1330</v>
      </c>
      <c r="B374" s="423" t="s">
        <v>1455</v>
      </c>
      <c r="C374" s="423" t="s">
        <v>1400</v>
      </c>
      <c r="D374" s="422" t="s">
        <v>1456</v>
      </c>
      <c r="E374" s="423" t="s">
        <v>1452</v>
      </c>
      <c r="F374" s="424">
        <v>7.75</v>
      </c>
      <c r="G374" s="425">
        <v>14.62</v>
      </c>
      <c r="H374" s="424">
        <v>25</v>
      </c>
      <c r="I374" s="425">
        <v>18.28</v>
      </c>
      <c r="J374" s="425">
        <v>141.66999999999999</v>
      </c>
      <c r="K374" s="421">
        <f t="shared" si="5"/>
        <v>2.3869510368964502E-5</v>
      </c>
    </row>
    <row r="375" spans="1:11" s="237" customFormat="1" ht="42.75">
      <c r="A375" s="422" t="s">
        <v>1338</v>
      </c>
      <c r="B375" s="423" t="s">
        <v>1028</v>
      </c>
      <c r="C375" s="423" t="s">
        <v>1396</v>
      </c>
      <c r="D375" s="422" t="s">
        <v>593</v>
      </c>
      <c r="E375" s="423" t="s">
        <v>1403</v>
      </c>
      <c r="F375" s="424">
        <v>4</v>
      </c>
      <c r="G375" s="425">
        <v>27.94</v>
      </c>
      <c r="H375" s="424">
        <v>25</v>
      </c>
      <c r="I375" s="425">
        <v>34.93</v>
      </c>
      <c r="J375" s="425">
        <v>139.72</v>
      </c>
      <c r="K375" s="421">
        <f t="shared" si="5"/>
        <v>2.3540961309746031E-5</v>
      </c>
    </row>
    <row r="376" spans="1:11" s="237" customFormat="1" ht="42.75">
      <c r="A376" s="422" t="s">
        <v>645</v>
      </c>
      <c r="B376" s="423" t="s">
        <v>1766</v>
      </c>
      <c r="C376" s="423" t="s">
        <v>1400</v>
      </c>
      <c r="D376" s="422" t="s">
        <v>1767</v>
      </c>
      <c r="E376" s="423" t="s">
        <v>1403</v>
      </c>
      <c r="F376" s="424">
        <v>4</v>
      </c>
      <c r="G376" s="425">
        <v>27.6</v>
      </c>
      <c r="H376" s="424">
        <v>25</v>
      </c>
      <c r="I376" s="425">
        <v>34.5</v>
      </c>
      <c r="J376" s="425">
        <v>138</v>
      </c>
      <c r="K376" s="421">
        <f t="shared" si="5"/>
        <v>2.3251164190845637E-5</v>
      </c>
    </row>
    <row r="377" spans="1:11" s="237" customFormat="1" ht="42.75">
      <c r="A377" s="422" t="s">
        <v>569</v>
      </c>
      <c r="B377" s="423" t="s">
        <v>1670</v>
      </c>
      <c r="C377" s="423" t="s">
        <v>1400</v>
      </c>
      <c r="D377" s="422" t="s">
        <v>565</v>
      </c>
      <c r="E377" s="423" t="s">
        <v>1403</v>
      </c>
      <c r="F377" s="424">
        <v>2</v>
      </c>
      <c r="G377" s="425">
        <v>54.66</v>
      </c>
      <c r="H377" s="424">
        <v>25</v>
      </c>
      <c r="I377" s="425">
        <v>68.33</v>
      </c>
      <c r="J377" s="425">
        <v>136.66</v>
      </c>
      <c r="K377" s="421">
        <f t="shared" si="5"/>
        <v>2.3025392016818584E-5</v>
      </c>
    </row>
    <row r="378" spans="1:11" s="237" customFormat="1" ht="42.75">
      <c r="A378" s="422" t="s">
        <v>581</v>
      </c>
      <c r="B378" s="423" t="s">
        <v>1681</v>
      </c>
      <c r="C378" s="423" t="s">
        <v>1400</v>
      </c>
      <c r="D378" s="422" t="s">
        <v>1682</v>
      </c>
      <c r="E378" s="423" t="s">
        <v>1403</v>
      </c>
      <c r="F378" s="424">
        <v>19</v>
      </c>
      <c r="G378" s="425">
        <v>5.7</v>
      </c>
      <c r="H378" s="424">
        <v>25</v>
      </c>
      <c r="I378" s="425">
        <v>7.13</v>
      </c>
      <c r="J378" s="425">
        <v>135.47</v>
      </c>
      <c r="K378" s="421">
        <f t="shared" si="5"/>
        <v>2.28248928473468E-5</v>
      </c>
    </row>
    <row r="379" spans="1:11" s="237" customFormat="1" ht="57">
      <c r="A379" s="422" t="s">
        <v>686</v>
      </c>
      <c r="B379" s="423" t="s">
        <v>1849</v>
      </c>
      <c r="C379" s="423" t="s">
        <v>1400</v>
      </c>
      <c r="D379" s="422" t="s">
        <v>1850</v>
      </c>
      <c r="E379" s="423" t="s">
        <v>1403</v>
      </c>
      <c r="F379" s="424">
        <v>5</v>
      </c>
      <c r="G379" s="425">
        <v>20.83</v>
      </c>
      <c r="H379" s="424">
        <v>25</v>
      </c>
      <c r="I379" s="425">
        <v>26.04</v>
      </c>
      <c r="J379" s="425">
        <v>130.19999999999999</v>
      </c>
      <c r="K379" s="421">
        <f t="shared" si="5"/>
        <v>2.1936967953971751E-5</v>
      </c>
    </row>
    <row r="380" spans="1:11" s="237" customFormat="1" ht="57">
      <c r="A380" s="422" t="s">
        <v>397</v>
      </c>
      <c r="B380" s="423" t="s">
        <v>1506</v>
      </c>
      <c r="C380" s="423" t="s">
        <v>1400</v>
      </c>
      <c r="D380" s="422" t="s">
        <v>1507</v>
      </c>
      <c r="E380" s="423" t="s">
        <v>1398</v>
      </c>
      <c r="F380" s="424">
        <v>2.0699999999999998</v>
      </c>
      <c r="G380" s="425">
        <v>49.95</v>
      </c>
      <c r="H380" s="424">
        <v>25</v>
      </c>
      <c r="I380" s="425">
        <v>62.44</v>
      </c>
      <c r="J380" s="425">
        <v>129.25</v>
      </c>
      <c r="K380" s="421">
        <f t="shared" si="5"/>
        <v>2.1776905591788397E-5</v>
      </c>
    </row>
    <row r="381" spans="1:11" s="237" customFormat="1" ht="57">
      <c r="A381" s="422" t="s">
        <v>548</v>
      </c>
      <c r="B381" s="423" t="s">
        <v>1109</v>
      </c>
      <c r="C381" s="423" t="s">
        <v>1396</v>
      </c>
      <c r="D381" s="422" t="s">
        <v>1650</v>
      </c>
      <c r="E381" s="423" t="s">
        <v>1403</v>
      </c>
      <c r="F381" s="424">
        <v>2</v>
      </c>
      <c r="G381" s="425">
        <v>51.08</v>
      </c>
      <c r="H381" s="424">
        <v>25</v>
      </c>
      <c r="I381" s="425">
        <v>63.85</v>
      </c>
      <c r="J381" s="425">
        <v>127.7</v>
      </c>
      <c r="K381" s="421">
        <f t="shared" si="5"/>
        <v>2.1515751211383971E-5</v>
      </c>
    </row>
    <row r="382" spans="1:11" s="237" customFormat="1" ht="42.75">
      <c r="A382" s="422" t="s">
        <v>652</v>
      </c>
      <c r="B382" s="423" t="s">
        <v>1035</v>
      </c>
      <c r="C382" s="423" t="s">
        <v>1396</v>
      </c>
      <c r="D382" s="422" t="s">
        <v>1034</v>
      </c>
      <c r="E382" s="423" t="s">
        <v>1403</v>
      </c>
      <c r="F382" s="424">
        <v>1</v>
      </c>
      <c r="G382" s="425">
        <v>101.44</v>
      </c>
      <c r="H382" s="424">
        <v>25</v>
      </c>
      <c r="I382" s="425">
        <v>126.8</v>
      </c>
      <c r="J382" s="425">
        <v>126.8</v>
      </c>
      <c r="K382" s="421">
        <f t="shared" si="5"/>
        <v>2.1364113184052368E-5</v>
      </c>
    </row>
    <row r="383" spans="1:11" s="237" customFormat="1" ht="28.5">
      <c r="A383" s="422" t="s">
        <v>532</v>
      </c>
      <c r="B383" s="423" t="s">
        <v>1635</v>
      </c>
      <c r="C383" s="423" t="s">
        <v>1400</v>
      </c>
      <c r="D383" s="422" t="s">
        <v>1636</v>
      </c>
      <c r="E383" s="423" t="s">
        <v>1403</v>
      </c>
      <c r="F383" s="424">
        <v>7</v>
      </c>
      <c r="G383" s="425">
        <v>13.84</v>
      </c>
      <c r="H383" s="424">
        <v>25</v>
      </c>
      <c r="I383" s="425">
        <v>17.3</v>
      </c>
      <c r="J383" s="425">
        <v>121.1</v>
      </c>
      <c r="K383" s="421">
        <f t="shared" si="5"/>
        <v>2.0403739010952223E-5</v>
      </c>
    </row>
    <row r="384" spans="1:11" s="237" customFormat="1" ht="28.5">
      <c r="A384" s="422" t="s">
        <v>403</v>
      </c>
      <c r="B384" s="423" t="s">
        <v>1548</v>
      </c>
      <c r="C384" s="423" t="s">
        <v>1400</v>
      </c>
      <c r="D384" s="422" t="s">
        <v>1549</v>
      </c>
      <c r="E384" s="423" t="s">
        <v>1398</v>
      </c>
      <c r="F384" s="424">
        <v>4.8600000000000003</v>
      </c>
      <c r="G384" s="425">
        <v>19.63</v>
      </c>
      <c r="H384" s="424">
        <v>25</v>
      </c>
      <c r="I384" s="425">
        <v>24.54</v>
      </c>
      <c r="J384" s="425">
        <v>119.26</v>
      </c>
      <c r="K384" s="421">
        <f t="shared" si="5"/>
        <v>2.0093723488407613E-5</v>
      </c>
    </row>
    <row r="385" spans="1:11" s="237" customFormat="1" ht="42.75">
      <c r="A385" s="422" t="s">
        <v>558</v>
      </c>
      <c r="B385" s="423" t="s">
        <v>1658</v>
      </c>
      <c r="C385" s="423" t="s">
        <v>1400</v>
      </c>
      <c r="D385" s="422" t="s">
        <v>1659</v>
      </c>
      <c r="E385" s="423" t="s">
        <v>1403</v>
      </c>
      <c r="F385" s="424">
        <v>2</v>
      </c>
      <c r="G385" s="425">
        <v>45.84</v>
      </c>
      <c r="H385" s="424">
        <v>25</v>
      </c>
      <c r="I385" s="425">
        <v>57.3</v>
      </c>
      <c r="J385" s="425">
        <v>114.6</v>
      </c>
      <c r="K385" s="421">
        <f t="shared" si="5"/>
        <v>1.9308575480223986E-5</v>
      </c>
    </row>
    <row r="386" spans="1:11" s="237" customFormat="1" ht="42.75">
      <c r="A386" s="422" t="s">
        <v>582</v>
      </c>
      <c r="B386" s="423" t="s">
        <v>1683</v>
      </c>
      <c r="C386" s="423" t="s">
        <v>1400</v>
      </c>
      <c r="D386" s="422" t="s">
        <v>1684</v>
      </c>
      <c r="E386" s="423" t="s">
        <v>1403</v>
      </c>
      <c r="F386" s="424">
        <v>11</v>
      </c>
      <c r="G386" s="425">
        <v>8.09</v>
      </c>
      <c r="H386" s="424">
        <v>25</v>
      </c>
      <c r="I386" s="425">
        <v>10.11</v>
      </c>
      <c r="J386" s="425">
        <v>111.21</v>
      </c>
      <c r="K386" s="421">
        <f t="shared" si="5"/>
        <v>1.8737405577274951E-5</v>
      </c>
    </row>
    <row r="387" spans="1:11" s="237" customFormat="1" ht="28.5">
      <c r="A387" s="422" t="s">
        <v>538</v>
      </c>
      <c r="B387" s="423" t="s">
        <v>1641</v>
      </c>
      <c r="C387" s="423" t="s">
        <v>1400</v>
      </c>
      <c r="D387" s="422" t="s">
        <v>1642</v>
      </c>
      <c r="E387" s="423" t="s">
        <v>1403</v>
      </c>
      <c r="F387" s="424">
        <v>1</v>
      </c>
      <c r="G387" s="425">
        <v>88.54</v>
      </c>
      <c r="H387" s="424">
        <v>25</v>
      </c>
      <c r="I387" s="425">
        <v>110.68</v>
      </c>
      <c r="J387" s="425">
        <v>110.68</v>
      </c>
      <c r="K387" s="421">
        <f t="shared" si="5"/>
        <v>1.8648107627846344E-5</v>
      </c>
    </row>
    <row r="388" spans="1:11" s="237" customFormat="1" ht="42.75">
      <c r="A388" s="422" t="s">
        <v>545</v>
      </c>
      <c r="B388" s="423" t="s">
        <v>1647</v>
      </c>
      <c r="C388" s="423" t="s">
        <v>1400</v>
      </c>
      <c r="D388" s="422" t="s">
        <v>1648</v>
      </c>
      <c r="E388" s="423" t="s">
        <v>1403</v>
      </c>
      <c r="F388" s="424">
        <v>1</v>
      </c>
      <c r="G388" s="425">
        <v>87.06</v>
      </c>
      <c r="H388" s="424">
        <v>25</v>
      </c>
      <c r="I388" s="425">
        <v>108.83</v>
      </c>
      <c r="J388" s="425">
        <v>108.83</v>
      </c>
      <c r="K388" s="421">
        <f t="shared" si="5"/>
        <v>1.8336407238331384E-5</v>
      </c>
    </row>
    <row r="389" spans="1:11" s="237" customFormat="1" ht="42.75">
      <c r="A389" s="422" t="s">
        <v>734</v>
      </c>
      <c r="B389" s="423" t="s">
        <v>1885</v>
      </c>
      <c r="C389" s="423" t="s">
        <v>1400</v>
      </c>
      <c r="D389" s="422" t="s">
        <v>1886</v>
      </c>
      <c r="E389" s="423" t="s">
        <v>1403</v>
      </c>
      <c r="F389" s="424">
        <v>1</v>
      </c>
      <c r="G389" s="425">
        <v>86.59</v>
      </c>
      <c r="H389" s="424">
        <v>25</v>
      </c>
      <c r="I389" s="425">
        <v>108.24</v>
      </c>
      <c r="J389" s="425">
        <v>108.24</v>
      </c>
      <c r="K389" s="421">
        <f t="shared" si="5"/>
        <v>1.8237000087080664E-5</v>
      </c>
    </row>
    <row r="390" spans="1:11" s="237" customFormat="1" ht="42.75">
      <c r="A390" s="422" t="s">
        <v>807</v>
      </c>
      <c r="B390" s="423" t="s">
        <v>1966</v>
      </c>
      <c r="C390" s="423" t="s">
        <v>1400</v>
      </c>
      <c r="D390" s="422" t="s">
        <v>1967</v>
      </c>
      <c r="E390" s="423" t="s">
        <v>1403</v>
      </c>
      <c r="F390" s="424">
        <v>2</v>
      </c>
      <c r="G390" s="425">
        <v>43.05</v>
      </c>
      <c r="H390" s="424">
        <v>25</v>
      </c>
      <c r="I390" s="425">
        <v>53.81</v>
      </c>
      <c r="J390" s="425">
        <v>107.62</v>
      </c>
      <c r="K390" s="421">
        <f t="shared" si="5"/>
        <v>1.8132538334918894E-5</v>
      </c>
    </row>
    <row r="391" spans="1:11" s="237" customFormat="1" ht="28.5">
      <c r="A391" s="422" t="s">
        <v>1337</v>
      </c>
      <c r="B391" s="423" t="s">
        <v>1703</v>
      </c>
      <c r="C391" s="423" t="s">
        <v>1400</v>
      </c>
      <c r="D391" s="422" t="s">
        <v>1704</v>
      </c>
      <c r="E391" s="423" t="s">
        <v>1403</v>
      </c>
      <c r="F391" s="424">
        <v>1</v>
      </c>
      <c r="G391" s="425">
        <v>82.95</v>
      </c>
      <c r="H391" s="424">
        <v>25</v>
      </c>
      <c r="I391" s="425">
        <v>103.69</v>
      </c>
      <c r="J391" s="425">
        <v>103.69</v>
      </c>
      <c r="K391" s="421">
        <f t="shared" si="5"/>
        <v>1.7470385615570898E-5</v>
      </c>
    </row>
    <row r="392" spans="1:11" s="237" customFormat="1" ht="57">
      <c r="A392" s="422" t="s">
        <v>642</v>
      </c>
      <c r="B392" s="423" t="s">
        <v>1762</v>
      </c>
      <c r="C392" s="423" t="s">
        <v>1400</v>
      </c>
      <c r="D392" s="422" t="s">
        <v>1763</v>
      </c>
      <c r="E392" s="423" t="s">
        <v>1403</v>
      </c>
      <c r="F392" s="424">
        <v>7</v>
      </c>
      <c r="G392" s="425">
        <v>11.53</v>
      </c>
      <c r="H392" s="424">
        <v>25</v>
      </c>
      <c r="I392" s="425">
        <v>14.41</v>
      </c>
      <c r="J392" s="425">
        <v>100.87</v>
      </c>
      <c r="K392" s="421">
        <f t="shared" si="5"/>
        <v>1.6995253129931881E-5</v>
      </c>
    </row>
    <row r="393" spans="1:11" s="237" customFormat="1" ht="28.5">
      <c r="A393" s="422" t="s">
        <v>536</v>
      </c>
      <c r="B393" s="423" t="s">
        <v>1639</v>
      </c>
      <c r="C393" s="423" t="s">
        <v>1400</v>
      </c>
      <c r="D393" s="422" t="s">
        <v>1640</v>
      </c>
      <c r="E393" s="423" t="s">
        <v>1403</v>
      </c>
      <c r="F393" s="424">
        <v>3</v>
      </c>
      <c r="G393" s="425">
        <v>25.89</v>
      </c>
      <c r="H393" s="424">
        <v>25</v>
      </c>
      <c r="I393" s="425">
        <v>32.36</v>
      </c>
      <c r="J393" s="425">
        <v>97.08</v>
      </c>
      <c r="K393" s="421">
        <f t="shared" si="5"/>
        <v>1.6356688548168799E-5</v>
      </c>
    </row>
    <row r="394" spans="1:11" s="237" customFormat="1" ht="28.5">
      <c r="A394" s="422" t="s">
        <v>1270</v>
      </c>
      <c r="B394" s="423" t="s">
        <v>1432</v>
      </c>
      <c r="C394" s="423" t="s">
        <v>1400</v>
      </c>
      <c r="D394" s="422" t="s">
        <v>1433</v>
      </c>
      <c r="E394" s="423" t="s">
        <v>1398</v>
      </c>
      <c r="F394" s="424">
        <v>9.44</v>
      </c>
      <c r="G394" s="425">
        <v>8.15</v>
      </c>
      <c r="H394" s="424">
        <v>25</v>
      </c>
      <c r="I394" s="425">
        <v>10.19</v>
      </c>
      <c r="J394" s="425">
        <v>96.19</v>
      </c>
      <c r="K394" s="421">
        <f t="shared" si="5"/>
        <v>1.6206735387807551E-5</v>
      </c>
    </row>
    <row r="395" spans="1:11" s="237" customFormat="1" ht="28.5">
      <c r="A395" s="422" t="s">
        <v>1339</v>
      </c>
      <c r="B395" s="423" t="s">
        <v>1705</v>
      </c>
      <c r="C395" s="423" t="s">
        <v>1400</v>
      </c>
      <c r="D395" s="422" t="s">
        <v>1706</v>
      </c>
      <c r="E395" s="423" t="s">
        <v>1403</v>
      </c>
      <c r="F395" s="424">
        <v>1</v>
      </c>
      <c r="G395" s="425">
        <v>74.66</v>
      </c>
      <c r="H395" s="424">
        <v>25</v>
      </c>
      <c r="I395" s="425">
        <v>93.33</v>
      </c>
      <c r="J395" s="425">
        <v>93.33</v>
      </c>
      <c r="K395" s="421">
        <f t="shared" si="5"/>
        <v>1.5724863434287126E-5</v>
      </c>
    </row>
    <row r="396" spans="1:11" s="237" customFormat="1" ht="42.75">
      <c r="A396" s="422" t="s">
        <v>803</v>
      </c>
      <c r="B396" s="423" t="s">
        <v>1962</v>
      </c>
      <c r="C396" s="423" t="s">
        <v>1400</v>
      </c>
      <c r="D396" s="422" t="s">
        <v>1963</v>
      </c>
      <c r="E396" s="423" t="s">
        <v>1403</v>
      </c>
      <c r="F396" s="424">
        <v>2</v>
      </c>
      <c r="G396" s="425">
        <v>36.03</v>
      </c>
      <c r="H396" s="424">
        <v>25</v>
      </c>
      <c r="I396" s="425">
        <v>45.04</v>
      </c>
      <c r="J396" s="425">
        <v>90.08</v>
      </c>
      <c r="K396" s="421">
        <f t="shared" si="5"/>
        <v>1.5177281668923007E-5</v>
      </c>
    </row>
    <row r="397" spans="1:11" s="237" customFormat="1" ht="42.75">
      <c r="A397" s="422" t="s">
        <v>660</v>
      </c>
      <c r="B397" s="423" t="s">
        <v>1781</v>
      </c>
      <c r="C397" s="423" t="s">
        <v>1400</v>
      </c>
      <c r="D397" s="422" t="s">
        <v>1782</v>
      </c>
      <c r="E397" s="423" t="s">
        <v>1403</v>
      </c>
      <c r="F397" s="424">
        <v>3</v>
      </c>
      <c r="G397" s="425">
        <v>23.58</v>
      </c>
      <c r="H397" s="424">
        <v>25</v>
      </c>
      <c r="I397" s="425">
        <v>29.48</v>
      </c>
      <c r="J397" s="425">
        <v>88.44</v>
      </c>
      <c r="K397" s="421">
        <f t="shared" si="5"/>
        <v>1.4900963485785422E-5</v>
      </c>
    </row>
    <row r="398" spans="1:11" s="237" customFormat="1" ht="28.5">
      <c r="A398" s="422" t="s">
        <v>844</v>
      </c>
      <c r="B398" s="423" t="s">
        <v>1098</v>
      </c>
      <c r="C398" s="423" t="s">
        <v>1099</v>
      </c>
      <c r="D398" s="422" t="s">
        <v>1097</v>
      </c>
      <c r="E398" s="423" t="s">
        <v>1403</v>
      </c>
      <c r="F398" s="424">
        <v>1</v>
      </c>
      <c r="G398" s="425">
        <v>69.58</v>
      </c>
      <c r="H398" s="424">
        <v>25</v>
      </c>
      <c r="I398" s="425">
        <v>86.98</v>
      </c>
      <c r="J398" s="425">
        <v>86.98</v>
      </c>
      <c r="K398" s="421">
        <f t="shared" si="5"/>
        <v>1.4654972908114156E-5</v>
      </c>
    </row>
    <row r="399" spans="1:11" s="237" customFormat="1" ht="28.5">
      <c r="A399" s="422" t="s">
        <v>748</v>
      </c>
      <c r="B399" s="423" t="s">
        <v>1898</v>
      </c>
      <c r="C399" s="423" t="s">
        <v>1400</v>
      </c>
      <c r="D399" s="422" t="s">
        <v>1899</v>
      </c>
      <c r="E399" s="423" t="s">
        <v>1403</v>
      </c>
      <c r="F399" s="424">
        <v>6</v>
      </c>
      <c r="G399" s="425">
        <v>11.25</v>
      </c>
      <c r="H399" s="424">
        <v>25</v>
      </c>
      <c r="I399" s="425">
        <v>14.06</v>
      </c>
      <c r="J399" s="425">
        <v>84.36</v>
      </c>
      <c r="K399" s="421">
        <f t="shared" ref="K399:K462" si="6">J399/$J$436</f>
        <v>1.421353776188216E-5</v>
      </c>
    </row>
    <row r="400" spans="1:11" s="237" customFormat="1" ht="28.5">
      <c r="A400" s="422" t="s">
        <v>905</v>
      </c>
      <c r="B400" s="423" t="s">
        <v>1906</v>
      </c>
      <c r="C400" s="423" t="s">
        <v>1400</v>
      </c>
      <c r="D400" s="422" t="s">
        <v>1907</v>
      </c>
      <c r="E400" s="423" t="s">
        <v>1403</v>
      </c>
      <c r="F400" s="424">
        <v>1</v>
      </c>
      <c r="G400" s="425">
        <v>67.180000000000007</v>
      </c>
      <c r="H400" s="424">
        <v>25</v>
      </c>
      <c r="I400" s="425">
        <v>83.98</v>
      </c>
      <c r="J400" s="425">
        <v>83.98</v>
      </c>
      <c r="K400" s="421">
        <f t="shared" si="6"/>
        <v>1.4149512817008818E-5</v>
      </c>
    </row>
    <row r="401" spans="1:11" s="237" customFormat="1" ht="28.5">
      <c r="A401" s="422" t="s">
        <v>904</v>
      </c>
      <c r="B401" s="423" t="s">
        <v>1904</v>
      </c>
      <c r="C401" s="423" t="s">
        <v>1400</v>
      </c>
      <c r="D401" s="422" t="s">
        <v>1905</v>
      </c>
      <c r="E401" s="423" t="s">
        <v>1403</v>
      </c>
      <c r="F401" s="424">
        <v>1</v>
      </c>
      <c r="G401" s="425">
        <v>60.18</v>
      </c>
      <c r="H401" s="424">
        <v>25</v>
      </c>
      <c r="I401" s="425">
        <v>75.23</v>
      </c>
      <c r="J401" s="425">
        <v>75.23</v>
      </c>
      <c r="K401" s="421">
        <f t="shared" si="6"/>
        <v>1.2675254217951575E-5</v>
      </c>
    </row>
    <row r="402" spans="1:11" s="237" customFormat="1" ht="42.75">
      <c r="A402" s="422" t="s">
        <v>584</v>
      </c>
      <c r="B402" s="423" t="s">
        <v>1685</v>
      </c>
      <c r="C402" s="423" t="s">
        <v>1400</v>
      </c>
      <c r="D402" s="422" t="s">
        <v>1686</v>
      </c>
      <c r="E402" s="423" t="s">
        <v>1403</v>
      </c>
      <c r="F402" s="424">
        <v>5</v>
      </c>
      <c r="G402" s="425">
        <v>11.36</v>
      </c>
      <c r="H402" s="424">
        <v>25</v>
      </c>
      <c r="I402" s="425">
        <v>14.2</v>
      </c>
      <c r="J402" s="425">
        <v>71</v>
      </c>
      <c r="K402" s="421">
        <f t="shared" si="6"/>
        <v>1.1962555489493045E-5</v>
      </c>
    </row>
    <row r="403" spans="1:11" s="237" customFormat="1" ht="57">
      <c r="A403" s="422" t="s">
        <v>1361</v>
      </c>
      <c r="B403" s="423" t="s">
        <v>1750</v>
      </c>
      <c r="C403" s="423" t="s">
        <v>1400</v>
      </c>
      <c r="D403" s="422" t="s">
        <v>1753</v>
      </c>
      <c r="E403" s="423" t="s">
        <v>1403</v>
      </c>
      <c r="F403" s="424">
        <v>1</v>
      </c>
      <c r="G403" s="425">
        <v>56.7</v>
      </c>
      <c r="H403" s="424">
        <v>25</v>
      </c>
      <c r="I403" s="425">
        <v>70.88</v>
      </c>
      <c r="J403" s="425">
        <v>70.88</v>
      </c>
      <c r="K403" s="421">
        <f t="shared" si="6"/>
        <v>1.1942337085848831E-5</v>
      </c>
    </row>
    <row r="404" spans="1:11" s="237" customFormat="1" ht="71.25">
      <c r="A404" s="422" t="s">
        <v>1269</v>
      </c>
      <c r="B404" s="423" t="s">
        <v>1430</v>
      </c>
      <c r="C404" s="423" t="s">
        <v>1400</v>
      </c>
      <c r="D404" s="422" t="s">
        <v>1431</v>
      </c>
      <c r="E404" s="423" t="s">
        <v>1422</v>
      </c>
      <c r="F404" s="424">
        <v>3.45</v>
      </c>
      <c r="G404" s="425">
        <v>16.3</v>
      </c>
      <c r="H404" s="424">
        <v>25</v>
      </c>
      <c r="I404" s="425">
        <v>20.38</v>
      </c>
      <c r="J404" s="425">
        <v>70.31</v>
      </c>
      <c r="K404" s="421">
        <f t="shared" si="6"/>
        <v>1.1846299668538818E-5</v>
      </c>
    </row>
    <row r="405" spans="1:11" s="237" customFormat="1" ht="42.75">
      <c r="A405" s="422" t="s">
        <v>1364</v>
      </c>
      <c r="B405" s="423" t="s">
        <v>1772</v>
      </c>
      <c r="C405" s="423" t="s">
        <v>1400</v>
      </c>
      <c r="D405" s="422" t="s">
        <v>1773</v>
      </c>
      <c r="E405" s="423" t="s">
        <v>1403</v>
      </c>
      <c r="F405" s="424">
        <v>1</v>
      </c>
      <c r="G405" s="425">
        <v>55.61</v>
      </c>
      <c r="H405" s="424">
        <v>25</v>
      </c>
      <c r="I405" s="425">
        <v>69.510000000000005</v>
      </c>
      <c r="J405" s="425">
        <v>69.510000000000005</v>
      </c>
      <c r="K405" s="421">
        <f t="shared" si="6"/>
        <v>1.1711510310910728E-5</v>
      </c>
    </row>
    <row r="406" spans="1:11" s="237" customFormat="1" ht="42.75">
      <c r="A406" s="422" t="s">
        <v>679</v>
      </c>
      <c r="B406" s="423" t="s">
        <v>1842</v>
      </c>
      <c r="C406" s="423" t="s">
        <v>1400</v>
      </c>
      <c r="D406" s="422" t="s">
        <v>1843</v>
      </c>
      <c r="E406" s="423" t="s">
        <v>1416</v>
      </c>
      <c r="F406" s="424">
        <v>0.51</v>
      </c>
      <c r="G406" s="425">
        <v>106.35</v>
      </c>
      <c r="H406" s="424">
        <v>25</v>
      </c>
      <c r="I406" s="425">
        <v>132.94</v>
      </c>
      <c r="J406" s="425">
        <v>67.8</v>
      </c>
      <c r="K406" s="421">
        <f t="shared" si="6"/>
        <v>1.1423398058980682E-5</v>
      </c>
    </row>
    <row r="407" spans="1:11" s="237" customFormat="1" ht="42.75">
      <c r="A407" s="422" t="s">
        <v>543</v>
      </c>
      <c r="B407" s="423" t="s">
        <v>1025</v>
      </c>
      <c r="C407" s="423" t="s">
        <v>1396</v>
      </c>
      <c r="D407" s="422" t="s">
        <v>541</v>
      </c>
      <c r="E407" s="423" t="s">
        <v>1403</v>
      </c>
      <c r="F407" s="424">
        <v>1</v>
      </c>
      <c r="G407" s="425">
        <v>53.17</v>
      </c>
      <c r="H407" s="424">
        <v>25</v>
      </c>
      <c r="I407" s="425">
        <v>66.459999999999994</v>
      </c>
      <c r="J407" s="425">
        <v>66.459999999999994</v>
      </c>
      <c r="K407" s="421">
        <f t="shared" si="6"/>
        <v>1.1197625884953631E-5</v>
      </c>
    </row>
    <row r="408" spans="1:11" s="237" customFormat="1" ht="57">
      <c r="A408" s="422" t="s">
        <v>1394</v>
      </c>
      <c r="B408" s="423" t="s">
        <v>1727</v>
      </c>
      <c r="C408" s="423" t="s">
        <v>1400</v>
      </c>
      <c r="D408" s="422" t="s">
        <v>1728</v>
      </c>
      <c r="E408" s="423" t="s">
        <v>1403</v>
      </c>
      <c r="F408" s="424">
        <v>4</v>
      </c>
      <c r="G408" s="425">
        <v>12.42</v>
      </c>
      <c r="H408" s="424">
        <v>25</v>
      </c>
      <c r="I408" s="425">
        <v>15.53</v>
      </c>
      <c r="J408" s="425">
        <v>62.12</v>
      </c>
      <c r="K408" s="421">
        <f t="shared" si="6"/>
        <v>1.0466393619821239E-5</v>
      </c>
    </row>
    <row r="409" spans="1:11" s="237" customFormat="1" ht="42.75">
      <c r="A409" s="422" t="s">
        <v>579</v>
      </c>
      <c r="B409" s="423" t="s">
        <v>1679</v>
      </c>
      <c r="C409" s="423" t="s">
        <v>1400</v>
      </c>
      <c r="D409" s="422" t="s">
        <v>1680</v>
      </c>
      <c r="E409" s="423" t="s">
        <v>1403</v>
      </c>
      <c r="F409" s="424">
        <v>4</v>
      </c>
      <c r="G409" s="425">
        <v>11.86</v>
      </c>
      <c r="H409" s="424">
        <v>25</v>
      </c>
      <c r="I409" s="425">
        <v>14.83</v>
      </c>
      <c r="J409" s="425">
        <v>59.32</v>
      </c>
      <c r="K409" s="421">
        <f t="shared" si="6"/>
        <v>9.994630868122922E-6</v>
      </c>
    </row>
    <row r="410" spans="1:11" s="237" customFormat="1" ht="28.5">
      <c r="A410" s="422" t="s">
        <v>485</v>
      </c>
      <c r="B410" s="423" t="s">
        <v>1513</v>
      </c>
      <c r="C410" s="423" t="s">
        <v>1400</v>
      </c>
      <c r="D410" s="422" t="s">
        <v>1514</v>
      </c>
      <c r="E410" s="423" t="s">
        <v>1398</v>
      </c>
      <c r="F410" s="424">
        <v>1.28</v>
      </c>
      <c r="G410" s="425">
        <v>35.94</v>
      </c>
      <c r="H410" s="424">
        <v>25</v>
      </c>
      <c r="I410" s="425">
        <v>44.93</v>
      </c>
      <c r="J410" s="425">
        <v>57.51</v>
      </c>
      <c r="K410" s="421">
        <f t="shared" si="6"/>
        <v>9.6896699464893671E-6</v>
      </c>
    </row>
    <row r="411" spans="1:11" s="237" customFormat="1" ht="42.75">
      <c r="A411" s="422" t="s">
        <v>648</v>
      </c>
      <c r="B411" s="423" t="s">
        <v>1770</v>
      </c>
      <c r="C411" s="423" t="s">
        <v>1400</v>
      </c>
      <c r="D411" s="422" t="s">
        <v>1771</v>
      </c>
      <c r="E411" s="423" t="s">
        <v>1403</v>
      </c>
      <c r="F411" s="424">
        <v>1</v>
      </c>
      <c r="G411" s="425">
        <v>45.43</v>
      </c>
      <c r="H411" s="424">
        <v>25</v>
      </c>
      <c r="I411" s="425">
        <v>56.79</v>
      </c>
      <c r="J411" s="425">
        <v>56.79</v>
      </c>
      <c r="K411" s="421">
        <f t="shared" si="6"/>
        <v>9.5683595246240853E-6</v>
      </c>
    </row>
    <row r="412" spans="1:11" s="237" customFormat="1" ht="57">
      <c r="A412" s="422" t="s">
        <v>547</v>
      </c>
      <c r="B412" s="423" t="s">
        <v>1026</v>
      </c>
      <c r="C412" s="423" t="s">
        <v>1396</v>
      </c>
      <c r="D412" s="422" t="s">
        <v>1649</v>
      </c>
      <c r="E412" s="423" t="s">
        <v>1403</v>
      </c>
      <c r="F412" s="424">
        <v>1</v>
      </c>
      <c r="G412" s="425">
        <v>45.36</v>
      </c>
      <c r="H412" s="424">
        <v>25</v>
      </c>
      <c r="I412" s="425">
        <v>56.7</v>
      </c>
      <c r="J412" s="425">
        <v>56.7</v>
      </c>
      <c r="K412" s="421">
        <f t="shared" si="6"/>
        <v>9.5531957218909257E-6</v>
      </c>
    </row>
    <row r="413" spans="1:11" s="237" customFormat="1" ht="28.5">
      <c r="A413" s="422" t="s">
        <v>1271</v>
      </c>
      <c r="B413" s="423" t="s">
        <v>1434</v>
      </c>
      <c r="C413" s="423" t="s">
        <v>1400</v>
      </c>
      <c r="D413" s="422" t="s">
        <v>1435</v>
      </c>
      <c r="E413" s="423" t="s">
        <v>1422</v>
      </c>
      <c r="F413" s="424">
        <v>1.37</v>
      </c>
      <c r="G413" s="425">
        <v>32.549999999999997</v>
      </c>
      <c r="H413" s="424">
        <v>25</v>
      </c>
      <c r="I413" s="425">
        <v>40.69</v>
      </c>
      <c r="J413" s="425">
        <v>55.75</v>
      </c>
      <c r="K413" s="421">
        <f t="shared" si="6"/>
        <v>9.3931333597075676E-6</v>
      </c>
    </row>
    <row r="414" spans="1:11" s="237" customFormat="1" ht="28.5">
      <c r="A414" s="422" t="s">
        <v>751</v>
      </c>
      <c r="B414" s="423" t="s">
        <v>1902</v>
      </c>
      <c r="C414" s="423" t="s">
        <v>1400</v>
      </c>
      <c r="D414" s="422" t="s">
        <v>1903</v>
      </c>
      <c r="E414" s="423" t="s">
        <v>1403</v>
      </c>
      <c r="F414" s="424">
        <v>2</v>
      </c>
      <c r="G414" s="425">
        <v>21.12</v>
      </c>
      <c r="H414" s="424">
        <v>25</v>
      </c>
      <c r="I414" s="425">
        <v>26.4</v>
      </c>
      <c r="J414" s="425">
        <v>52.8</v>
      </c>
      <c r="K414" s="421">
        <f t="shared" si="6"/>
        <v>8.8960976034539827E-6</v>
      </c>
    </row>
    <row r="415" spans="1:11" s="237" customFormat="1" ht="28.5">
      <c r="A415" s="422" t="s">
        <v>600</v>
      </c>
      <c r="B415" s="423" t="s">
        <v>1699</v>
      </c>
      <c r="C415" s="423" t="s">
        <v>1400</v>
      </c>
      <c r="D415" s="422" t="s">
        <v>1700</v>
      </c>
      <c r="E415" s="423" t="s">
        <v>1403</v>
      </c>
      <c r="F415" s="424">
        <v>1</v>
      </c>
      <c r="G415" s="425">
        <v>39.380000000000003</v>
      </c>
      <c r="H415" s="424">
        <v>25</v>
      </c>
      <c r="I415" s="425">
        <v>49.23</v>
      </c>
      <c r="J415" s="425">
        <v>49.23</v>
      </c>
      <c r="K415" s="421">
        <f t="shared" si="6"/>
        <v>8.2946000950386283E-6</v>
      </c>
    </row>
    <row r="416" spans="1:11" s="237" customFormat="1" ht="28.5">
      <c r="A416" s="422" t="s">
        <v>684</v>
      </c>
      <c r="B416" s="423" t="s">
        <v>1043</v>
      </c>
      <c r="C416" s="423" t="s">
        <v>1396</v>
      </c>
      <c r="D416" s="422" t="s">
        <v>1848</v>
      </c>
      <c r="E416" s="423" t="s">
        <v>1403</v>
      </c>
      <c r="F416" s="424">
        <v>2</v>
      </c>
      <c r="G416" s="425">
        <v>17.96</v>
      </c>
      <c r="H416" s="424">
        <v>25</v>
      </c>
      <c r="I416" s="425">
        <v>22.45</v>
      </c>
      <c r="J416" s="425">
        <v>44.9</v>
      </c>
      <c r="K416" s="421">
        <f t="shared" si="6"/>
        <v>7.5650526968765878E-6</v>
      </c>
    </row>
    <row r="417" spans="1:11" s="237" customFormat="1" ht="57">
      <c r="A417" s="422" t="s">
        <v>675</v>
      </c>
      <c r="B417" s="423" t="s">
        <v>1838</v>
      </c>
      <c r="C417" s="423" t="s">
        <v>1400</v>
      </c>
      <c r="D417" s="422" t="s">
        <v>1839</v>
      </c>
      <c r="E417" s="423" t="s">
        <v>1416</v>
      </c>
      <c r="F417" s="424">
        <v>1.1299999999999999</v>
      </c>
      <c r="G417" s="425">
        <v>30.18</v>
      </c>
      <c r="H417" s="424">
        <v>25</v>
      </c>
      <c r="I417" s="425">
        <v>37.729999999999997</v>
      </c>
      <c r="J417" s="425">
        <v>42.63</v>
      </c>
      <c r="K417" s="421">
        <f t="shared" si="6"/>
        <v>7.1825878946068813E-6</v>
      </c>
    </row>
    <row r="418" spans="1:11" s="237" customFormat="1" ht="42.75">
      <c r="A418" s="422" t="s">
        <v>588</v>
      </c>
      <c r="B418" s="423" t="s">
        <v>1687</v>
      </c>
      <c r="C418" s="423" t="s">
        <v>1400</v>
      </c>
      <c r="D418" s="422" t="s">
        <v>1688</v>
      </c>
      <c r="E418" s="423" t="s">
        <v>1403</v>
      </c>
      <c r="F418" s="424">
        <v>1</v>
      </c>
      <c r="G418" s="425">
        <v>31.99</v>
      </c>
      <c r="H418" s="424">
        <v>25</v>
      </c>
      <c r="I418" s="425">
        <v>39.99</v>
      </c>
      <c r="J418" s="425">
        <v>39.99</v>
      </c>
      <c r="K418" s="421">
        <f t="shared" si="6"/>
        <v>6.737783014434182E-6</v>
      </c>
    </row>
    <row r="419" spans="1:11" s="237" customFormat="1" ht="42.75">
      <c r="A419" s="422" t="s">
        <v>1360</v>
      </c>
      <c r="B419" s="423" t="s">
        <v>1743</v>
      </c>
      <c r="C419" s="423" t="s">
        <v>1400</v>
      </c>
      <c r="D419" s="422" t="s">
        <v>1744</v>
      </c>
      <c r="E419" s="423" t="s">
        <v>1403</v>
      </c>
      <c r="F419" s="424">
        <v>1</v>
      </c>
      <c r="G419" s="425">
        <v>31.15</v>
      </c>
      <c r="H419" s="424">
        <v>25</v>
      </c>
      <c r="I419" s="425">
        <v>38.94</v>
      </c>
      <c r="J419" s="425">
        <v>38.94</v>
      </c>
      <c r="K419" s="421">
        <f t="shared" si="6"/>
        <v>6.5608719825473124E-6</v>
      </c>
    </row>
    <row r="420" spans="1:11" s="237" customFormat="1" ht="57">
      <c r="A420" s="422" t="s">
        <v>714</v>
      </c>
      <c r="B420" s="423" t="s">
        <v>1869</v>
      </c>
      <c r="C420" s="423" t="s">
        <v>1400</v>
      </c>
      <c r="D420" s="422" t="s">
        <v>1870</v>
      </c>
      <c r="E420" s="423" t="s">
        <v>1416</v>
      </c>
      <c r="F420" s="424">
        <v>0.52</v>
      </c>
      <c r="G420" s="425">
        <v>56.58</v>
      </c>
      <c r="H420" s="424">
        <v>25</v>
      </c>
      <c r="I420" s="425">
        <v>70.73</v>
      </c>
      <c r="J420" s="425">
        <v>36.78</v>
      </c>
      <c r="K420" s="421">
        <f t="shared" si="6"/>
        <v>6.1969407169514677E-6</v>
      </c>
    </row>
    <row r="421" spans="1:11" s="237" customFormat="1" ht="57">
      <c r="A421" s="422" t="s">
        <v>687</v>
      </c>
      <c r="B421" s="423" t="s">
        <v>1851</v>
      </c>
      <c r="C421" s="423" t="s">
        <v>1400</v>
      </c>
      <c r="D421" s="422" t="s">
        <v>1852</v>
      </c>
      <c r="E421" s="423" t="s">
        <v>1403</v>
      </c>
      <c r="F421" s="424">
        <v>1</v>
      </c>
      <c r="G421" s="425">
        <v>29.37</v>
      </c>
      <c r="H421" s="424">
        <v>25</v>
      </c>
      <c r="I421" s="425">
        <v>36.71</v>
      </c>
      <c r="J421" s="425">
        <v>36.71</v>
      </c>
      <c r="K421" s="421">
        <f t="shared" si="6"/>
        <v>6.1851466481590102E-6</v>
      </c>
    </row>
    <row r="422" spans="1:11" s="237" customFormat="1" ht="42.75">
      <c r="A422" s="422" t="s">
        <v>542</v>
      </c>
      <c r="B422" s="423" t="s">
        <v>1645</v>
      </c>
      <c r="C422" s="423" t="s">
        <v>1400</v>
      </c>
      <c r="D422" s="422" t="s">
        <v>1646</v>
      </c>
      <c r="E422" s="423" t="s">
        <v>1403</v>
      </c>
      <c r="F422" s="424">
        <v>1</v>
      </c>
      <c r="G422" s="425">
        <v>28.87</v>
      </c>
      <c r="H422" s="424">
        <v>25</v>
      </c>
      <c r="I422" s="425">
        <v>36.090000000000003</v>
      </c>
      <c r="J422" s="425">
        <v>36.090000000000003</v>
      </c>
      <c r="K422" s="421">
        <f t="shared" si="6"/>
        <v>6.0806848959972399E-6</v>
      </c>
    </row>
    <row r="423" spans="1:11" s="237" customFormat="1" ht="28.5">
      <c r="A423" s="422" t="s">
        <v>530</v>
      </c>
      <c r="B423" s="423" t="s">
        <v>1633</v>
      </c>
      <c r="C423" s="423" t="s">
        <v>1400</v>
      </c>
      <c r="D423" s="422" t="s">
        <v>1634</v>
      </c>
      <c r="E423" s="423" t="s">
        <v>1403</v>
      </c>
      <c r="F423" s="424">
        <v>3</v>
      </c>
      <c r="G423" s="425">
        <v>9.01</v>
      </c>
      <c r="H423" s="424">
        <v>25</v>
      </c>
      <c r="I423" s="425">
        <v>11.26</v>
      </c>
      <c r="J423" s="425">
        <v>33.78</v>
      </c>
      <c r="K423" s="421">
        <f t="shared" si="6"/>
        <v>5.6914806258461283E-6</v>
      </c>
    </row>
    <row r="424" spans="1:11" s="237" customFormat="1" ht="42.75">
      <c r="A424" s="422" t="s">
        <v>1359</v>
      </c>
      <c r="B424" s="423" t="s">
        <v>1741</v>
      </c>
      <c r="C424" s="423" t="s">
        <v>1400</v>
      </c>
      <c r="D424" s="422" t="s">
        <v>1742</v>
      </c>
      <c r="E424" s="423" t="s">
        <v>1403</v>
      </c>
      <c r="F424" s="424">
        <v>1</v>
      </c>
      <c r="G424" s="425">
        <v>25.7</v>
      </c>
      <c r="H424" s="424">
        <v>25</v>
      </c>
      <c r="I424" s="425">
        <v>32.130000000000003</v>
      </c>
      <c r="J424" s="425">
        <v>32.130000000000003</v>
      </c>
      <c r="K424" s="421">
        <f t="shared" si="6"/>
        <v>5.4134775757381913E-6</v>
      </c>
    </row>
    <row r="425" spans="1:11" s="237" customFormat="1" ht="42.75">
      <c r="A425" s="422" t="s">
        <v>625</v>
      </c>
      <c r="B425" s="423" t="s">
        <v>1105</v>
      </c>
      <c r="C425" s="423" t="s">
        <v>1396</v>
      </c>
      <c r="D425" s="422" t="s">
        <v>1745</v>
      </c>
      <c r="E425" s="423" t="s">
        <v>1403</v>
      </c>
      <c r="F425" s="424">
        <v>1</v>
      </c>
      <c r="G425" s="425">
        <v>23.74</v>
      </c>
      <c r="H425" s="424">
        <v>25</v>
      </c>
      <c r="I425" s="425">
        <v>29.68</v>
      </c>
      <c r="J425" s="425">
        <v>29.68</v>
      </c>
      <c r="K425" s="421">
        <f t="shared" si="6"/>
        <v>5.0006851680021631E-6</v>
      </c>
    </row>
    <row r="426" spans="1:11" s="237" customFormat="1" ht="42.75">
      <c r="A426" s="422" t="s">
        <v>566</v>
      </c>
      <c r="B426" s="423" t="s">
        <v>1666</v>
      </c>
      <c r="C426" s="423" t="s">
        <v>1400</v>
      </c>
      <c r="D426" s="422" t="s">
        <v>1667</v>
      </c>
      <c r="E426" s="423" t="s">
        <v>1403</v>
      </c>
      <c r="F426" s="424">
        <v>2</v>
      </c>
      <c r="G426" s="425">
        <v>8.7200000000000006</v>
      </c>
      <c r="H426" s="424">
        <v>25</v>
      </c>
      <c r="I426" s="425">
        <v>10.9</v>
      </c>
      <c r="J426" s="425">
        <v>21.8</v>
      </c>
      <c r="K426" s="421">
        <f t="shared" si="6"/>
        <v>3.6730099953654703E-6</v>
      </c>
    </row>
    <row r="427" spans="1:11" s="237" customFormat="1" ht="42.75">
      <c r="A427" s="422" t="s">
        <v>586</v>
      </c>
      <c r="B427" s="423" t="s">
        <v>1027</v>
      </c>
      <c r="C427" s="423" t="s">
        <v>1396</v>
      </c>
      <c r="D427" s="422" t="s">
        <v>580</v>
      </c>
      <c r="E427" s="423" t="s">
        <v>1403</v>
      </c>
      <c r="F427" s="424">
        <v>1</v>
      </c>
      <c r="G427" s="425">
        <v>16.84</v>
      </c>
      <c r="H427" s="424">
        <v>25</v>
      </c>
      <c r="I427" s="425">
        <v>21.05</v>
      </c>
      <c r="J427" s="425">
        <v>21.05</v>
      </c>
      <c r="K427" s="421">
        <f t="shared" si="6"/>
        <v>3.5466449725891353E-6</v>
      </c>
    </row>
    <row r="428" spans="1:11" s="237" customFormat="1" ht="42.75">
      <c r="A428" s="422" t="s">
        <v>573</v>
      </c>
      <c r="B428" s="423" t="s">
        <v>1673</v>
      </c>
      <c r="C428" s="423" t="s">
        <v>1400</v>
      </c>
      <c r="D428" s="422" t="s">
        <v>1674</v>
      </c>
      <c r="E428" s="423" t="s">
        <v>1403</v>
      </c>
      <c r="F428" s="424">
        <v>2</v>
      </c>
      <c r="G428" s="425">
        <v>8.02</v>
      </c>
      <c r="H428" s="424">
        <v>25</v>
      </c>
      <c r="I428" s="425">
        <v>10.029999999999999</v>
      </c>
      <c r="J428" s="425">
        <v>20.059999999999999</v>
      </c>
      <c r="K428" s="421">
        <f t="shared" si="6"/>
        <v>3.3798431425243729E-6</v>
      </c>
    </row>
    <row r="429" spans="1:11" s="237" customFormat="1" ht="28.5">
      <c r="A429" s="422" t="s">
        <v>567</v>
      </c>
      <c r="B429" s="423" t="s">
        <v>1668</v>
      </c>
      <c r="C429" s="423" t="s">
        <v>1400</v>
      </c>
      <c r="D429" s="422" t="s">
        <v>1669</v>
      </c>
      <c r="E429" s="423" t="s">
        <v>1403</v>
      </c>
      <c r="F429" s="424">
        <v>1</v>
      </c>
      <c r="G429" s="425">
        <v>13.06</v>
      </c>
      <c r="H429" s="424">
        <v>25</v>
      </c>
      <c r="I429" s="425">
        <v>16.329999999999998</v>
      </c>
      <c r="J429" s="425">
        <v>16.329999999999998</v>
      </c>
      <c r="K429" s="421">
        <f t="shared" si="6"/>
        <v>2.7513877625834002E-6</v>
      </c>
    </row>
    <row r="430" spans="1:11" s="237" customFormat="1" ht="57">
      <c r="A430" s="422" t="s">
        <v>396</v>
      </c>
      <c r="B430" s="423" t="s">
        <v>1504</v>
      </c>
      <c r="C430" s="423" t="s">
        <v>1400</v>
      </c>
      <c r="D430" s="422" t="s">
        <v>1505</v>
      </c>
      <c r="E430" s="423" t="s">
        <v>1398</v>
      </c>
      <c r="F430" s="424">
        <v>2.0699999999999998</v>
      </c>
      <c r="G430" s="425">
        <v>4.95</v>
      </c>
      <c r="H430" s="424">
        <v>25</v>
      </c>
      <c r="I430" s="425">
        <v>6.19</v>
      </c>
      <c r="J430" s="425">
        <v>12.81</v>
      </c>
      <c r="K430" s="421">
        <f t="shared" si="6"/>
        <v>2.1583145890198015E-6</v>
      </c>
    </row>
    <row r="431" spans="1:11" s="237" customFormat="1" ht="42.75">
      <c r="A431" s="422" t="s">
        <v>1365</v>
      </c>
      <c r="B431" s="423" t="s">
        <v>1666</v>
      </c>
      <c r="C431" s="423" t="s">
        <v>1400</v>
      </c>
      <c r="D431" s="422" t="s">
        <v>1667</v>
      </c>
      <c r="E431" s="423" t="s">
        <v>1403</v>
      </c>
      <c r="F431" s="424">
        <v>1</v>
      </c>
      <c r="G431" s="425">
        <v>8.7200000000000006</v>
      </c>
      <c r="H431" s="424">
        <v>25</v>
      </c>
      <c r="I431" s="425">
        <v>10.9</v>
      </c>
      <c r="J431" s="425">
        <v>10.9</v>
      </c>
      <c r="K431" s="421">
        <f t="shared" si="6"/>
        <v>1.8365049976827352E-6</v>
      </c>
    </row>
    <row r="432" spans="1:11" s="237" customFormat="1" ht="28.5">
      <c r="A432" s="422" t="s">
        <v>450</v>
      </c>
      <c r="B432" s="423" t="s">
        <v>1510</v>
      </c>
      <c r="C432" s="423" t="s">
        <v>1511</v>
      </c>
      <c r="D432" s="422" t="s">
        <v>1512</v>
      </c>
      <c r="E432" s="423" t="s">
        <v>1398</v>
      </c>
      <c r="F432" s="424">
        <v>1.28</v>
      </c>
      <c r="G432" s="425">
        <v>5.4</v>
      </c>
      <c r="H432" s="424">
        <v>25</v>
      </c>
      <c r="I432" s="425">
        <v>6.75</v>
      </c>
      <c r="J432" s="425">
        <v>8.64</v>
      </c>
      <c r="K432" s="421">
        <f t="shared" si="6"/>
        <v>1.4557250623833791E-6</v>
      </c>
    </row>
    <row r="433" spans="1:11" s="237" customFormat="1" ht="42.75">
      <c r="A433" s="422" t="s">
        <v>1358</v>
      </c>
      <c r="B433" s="423" t="s">
        <v>674</v>
      </c>
      <c r="C433" s="423" t="s">
        <v>1400</v>
      </c>
      <c r="D433" s="422" t="s">
        <v>1651</v>
      </c>
      <c r="E433" s="423" t="s">
        <v>1403</v>
      </c>
      <c r="F433" s="424">
        <v>1</v>
      </c>
      <c r="G433" s="425">
        <v>6.42</v>
      </c>
      <c r="H433" s="424">
        <v>25</v>
      </c>
      <c r="I433" s="425">
        <v>8.0299999999999994</v>
      </c>
      <c r="J433" s="425">
        <v>8.0299999999999994</v>
      </c>
      <c r="K433" s="421">
        <f t="shared" si="6"/>
        <v>1.3529481771919599E-6</v>
      </c>
    </row>
    <row r="434" spans="1:11" s="237" customFormat="1">
      <c r="A434" s="420"/>
      <c r="B434" s="420"/>
      <c r="C434" s="420"/>
      <c r="D434" s="420"/>
      <c r="E434" s="420"/>
      <c r="F434" s="420"/>
      <c r="G434" s="420"/>
      <c r="H434" s="496" t="s">
        <v>2066</v>
      </c>
      <c r="I434" s="497"/>
      <c r="J434" s="500">
        <v>1142827.1000000001</v>
      </c>
      <c r="K434" s="500"/>
    </row>
    <row r="435" spans="1:11" s="237" customFormat="1">
      <c r="A435" s="420"/>
      <c r="B435" s="420"/>
      <c r="C435" s="420"/>
      <c r="D435" s="420"/>
      <c r="E435" s="420"/>
      <c r="F435" s="420"/>
      <c r="G435" s="420"/>
      <c r="H435" s="483" t="s">
        <v>2067</v>
      </c>
      <c r="I435" s="498"/>
      <c r="J435" s="499">
        <v>4792359.58</v>
      </c>
      <c r="K435" s="499"/>
    </row>
    <row r="436" spans="1:11" s="237" customFormat="1">
      <c r="A436" s="420"/>
      <c r="B436" s="420"/>
      <c r="C436" s="420"/>
      <c r="D436" s="420"/>
      <c r="E436" s="420"/>
      <c r="F436" s="420"/>
      <c r="G436" s="420"/>
      <c r="H436" s="483" t="s">
        <v>2068</v>
      </c>
      <c r="I436" s="498"/>
      <c r="J436" s="499">
        <v>5935186.6799999997</v>
      </c>
      <c r="K436" s="499"/>
    </row>
    <row r="437" spans="1:11" ht="14.25">
      <c r="A437" s="141"/>
      <c r="B437" s="141"/>
      <c r="C437" s="141"/>
      <c r="D437" s="141"/>
      <c r="E437" s="141"/>
      <c r="F437" s="141"/>
      <c r="G437" s="141"/>
      <c r="H437" s="141"/>
      <c r="I437" s="141"/>
      <c r="J437" s="141"/>
    </row>
    <row r="438" spans="1:11" s="144" customFormat="1" ht="51" customHeight="1">
      <c r="A438" s="176"/>
      <c r="B438" s="176"/>
      <c r="C438" s="176"/>
      <c r="D438" s="176"/>
      <c r="E438" s="177"/>
      <c r="F438" s="177"/>
      <c r="G438" s="143"/>
      <c r="H438" s="143"/>
      <c r="I438" s="143"/>
      <c r="J438" s="143"/>
      <c r="K438" s="143"/>
    </row>
    <row r="439" spans="1:11" s="234" customFormat="1" ht="80.25" customHeight="1">
      <c r="A439" s="502" t="s">
        <v>1266</v>
      </c>
      <c r="B439" s="502"/>
      <c r="C439" s="502"/>
      <c r="D439" s="502"/>
      <c r="E439" s="502"/>
      <c r="F439" s="502"/>
      <c r="G439" s="502"/>
      <c r="H439" s="502"/>
      <c r="I439" s="502"/>
      <c r="J439" s="502"/>
      <c r="K439" s="502"/>
    </row>
  </sheetData>
  <sortState ref="A15:K478">
    <sortCondition descending="1" ref="K15:K478"/>
  </sortState>
  <mergeCells count="21">
    <mergeCell ref="A12:K12"/>
    <mergeCell ref="A439:K439"/>
    <mergeCell ref="A1:K1"/>
    <mergeCell ref="A9:B10"/>
    <mergeCell ref="A5:B5"/>
    <mergeCell ref="A6:B6"/>
    <mergeCell ref="A3:K3"/>
    <mergeCell ref="C5:E5"/>
    <mergeCell ref="C6:E6"/>
    <mergeCell ref="C9:E10"/>
    <mergeCell ref="H9:K10"/>
    <mergeCell ref="J6:K7"/>
    <mergeCell ref="J5:K5"/>
    <mergeCell ref="H5:I5"/>
    <mergeCell ref="H6:I7"/>
    <mergeCell ref="H434:I434"/>
    <mergeCell ref="H435:I435"/>
    <mergeCell ref="H436:I436"/>
    <mergeCell ref="J435:K435"/>
    <mergeCell ref="J436:K436"/>
    <mergeCell ref="J434:K434"/>
  </mergeCells>
  <pageMargins left="0.23622047244094491" right="0.23622047244094491" top="0.74803149606299213" bottom="0.74803149606299213" header="0.31496062992125984" footer="0.31496062992125984"/>
  <pageSetup paperSize="9" scale="53"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8"/>
  <sheetViews>
    <sheetView view="pageBreakPreview" topLeftCell="B712" zoomScaleNormal="100" zoomScaleSheetLayoutView="100" workbookViewId="0">
      <selection activeCell="P14" sqref="P14"/>
    </sheetView>
  </sheetViews>
  <sheetFormatPr defaultColWidth="13" defaultRowHeight="15" customHeight="1"/>
  <cols>
    <col min="1" max="1" width="14.875" style="150" customWidth="1"/>
    <col min="2" max="2" width="57.5" style="150" customWidth="1"/>
    <col min="3" max="3" width="10.25" style="150" customWidth="1"/>
    <col min="4" max="4" width="6" style="150" customWidth="1"/>
    <col min="5" max="5" width="16.125" style="150" customWidth="1"/>
    <col min="6" max="6" width="12.25" style="150" customWidth="1"/>
    <col min="7" max="7" width="13.375" style="150" customWidth="1"/>
    <col min="8" max="8" width="14.375" style="150" customWidth="1"/>
    <col min="9" max="27" width="9.25" style="150" customWidth="1"/>
    <col min="28" max="16384" width="13" style="150"/>
  </cols>
  <sheetData>
    <row r="1" spans="1:41" ht="100.5" customHeight="1">
      <c r="A1" s="516"/>
      <c r="B1" s="516"/>
      <c r="C1" s="516"/>
      <c r="D1" s="516"/>
      <c r="E1" s="516"/>
      <c r="F1" s="516"/>
      <c r="G1" s="516"/>
      <c r="H1" s="147"/>
      <c r="I1" s="148"/>
      <c r="J1" s="148"/>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row>
    <row r="2" spans="1:41" s="155" customFormat="1" ht="6" customHeight="1">
      <c r="A2" s="151"/>
      <c r="B2" s="68"/>
      <c r="C2" s="68"/>
      <c r="D2" s="152"/>
      <c r="E2" s="69"/>
      <c r="F2" s="70"/>
      <c r="G2" s="71"/>
      <c r="H2" s="153"/>
      <c r="I2" s="153"/>
      <c r="J2" s="153"/>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1:41" s="155" customFormat="1" ht="20.25" customHeight="1">
      <c r="A3" s="517" t="str">
        <f>'ORÇAMENTO SINTÉTICO (NÃO DESON)'!$A$3:$J$3</f>
        <v>PREFEITURA MUNICIPAL DE CABO FRIO</v>
      </c>
      <c r="B3" s="517"/>
      <c r="C3" s="517"/>
      <c r="D3" s="517"/>
      <c r="E3" s="517"/>
      <c r="F3" s="517"/>
      <c r="G3" s="517"/>
      <c r="H3" s="156"/>
      <c r="I3" s="156"/>
      <c r="J3" s="156"/>
      <c r="K3" s="156"/>
      <c r="L3" s="156"/>
      <c r="M3" s="156"/>
      <c r="N3" s="156"/>
      <c r="O3" s="156"/>
      <c r="P3" s="156"/>
      <c r="Q3" s="156"/>
      <c r="R3" s="156"/>
      <c r="S3" s="156"/>
      <c r="T3" s="156"/>
      <c r="U3" s="156"/>
      <c r="V3" s="156"/>
    </row>
    <row r="4" spans="1:41" s="155" customFormat="1" ht="6" customHeight="1">
      <c r="A4" s="151"/>
      <c r="B4" s="68"/>
      <c r="C4" s="68"/>
      <c r="D4" s="152"/>
      <c r="E4" s="69"/>
      <c r="F4" s="70"/>
      <c r="G4" s="71"/>
      <c r="H4" s="153"/>
      <c r="I4" s="153"/>
      <c r="J4" s="153"/>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row>
    <row r="5" spans="1:41" s="155" customFormat="1" ht="18">
      <c r="A5" s="75" t="s">
        <v>913</v>
      </c>
      <c r="B5" s="520" t="str">
        <f>'ORÇAMENTO SINTÉTICO (NÃO DESON)'!$C$5</f>
        <v>CONSTRUÇÃO DA CRECHE ESCOLA TAMOIOS</v>
      </c>
      <c r="C5" s="521"/>
      <c r="D5" s="157"/>
      <c r="E5" s="518" t="s">
        <v>40</v>
      </c>
      <c r="F5" s="518"/>
      <c r="G5" s="117">
        <f>'CÁLCULO BDI (NÃO DESON)'!B14</f>
        <v>0.25</v>
      </c>
      <c r="H5" s="72"/>
      <c r="I5" s="72"/>
      <c r="J5" s="72"/>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1:41" s="155" customFormat="1" ht="40.5" customHeight="1">
      <c r="A6" s="520" t="s">
        <v>914</v>
      </c>
      <c r="B6" s="523" t="str">
        <f>'ORÇAMENTO SINTÉTICO (NÃO DESON)'!$C$6</f>
        <v>AV. INDEPENDÊNCIA, S/N, CONDOMÍNIO VERÃO VERMELHO, TAMOIOS</v>
      </c>
      <c r="C6" s="523"/>
      <c r="D6" s="157"/>
      <c r="E6" s="518" t="s">
        <v>455</v>
      </c>
      <c r="F6" s="518"/>
      <c r="G6" s="117">
        <f>BDI!$B$13</f>
        <v>0.16800000000000001</v>
      </c>
      <c r="H6" s="153"/>
      <c r="I6" s="153"/>
      <c r="J6" s="153"/>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row>
    <row r="7" spans="1:41" s="155" customFormat="1" ht="18">
      <c r="A7" s="520"/>
      <c r="B7" s="523"/>
      <c r="C7" s="523"/>
      <c r="D7" s="152"/>
      <c r="E7" s="73"/>
      <c r="F7" s="73"/>
      <c r="G7" s="67"/>
      <c r="H7" s="153"/>
      <c r="I7" s="153"/>
      <c r="J7" s="153"/>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row>
    <row r="8" spans="1:41" s="155" customFormat="1" ht="6" customHeight="1">
      <c r="A8" s="151"/>
      <c r="B8" s="68"/>
      <c r="C8" s="68"/>
      <c r="D8" s="152"/>
      <c r="E8" s="69"/>
      <c r="F8" s="70"/>
      <c r="G8" s="71"/>
      <c r="H8" s="153"/>
      <c r="I8" s="153"/>
      <c r="J8" s="153"/>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row>
    <row r="9" spans="1:41" s="155" customFormat="1" ht="40.5" customHeight="1">
      <c r="A9" s="524" t="s">
        <v>490</v>
      </c>
      <c r="B9" s="522" t="str">
        <f>'ORÇAMENTO SINTÉTICO (NÃO DESON)'!$C$9</f>
        <v>SINAPI - SETEMBRO/2023, EMOP - AGOSTO/2023</v>
      </c>
      <c r="C9" s="522"/>
      <c r="D9" s="76"/>
      <c r="E9" s="525" t="str">
        <f>'ORÇAMENTO SINTÉTICO (NÃO DESON)'!$G$9</f>
        <v>Encargos Sociais Não Desonerado: embutido nos preços unitário dos insumos de mão de obra, de acordo com as bases.</v>
      </c>
      <c r="F9" s="525"/>
      <c r="G9" s="525"/>
      <c r="H9" s="153"/>
      <c r="I9" s="153"/>
      <c r="J9" s="153"/>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row>
    <row r="10" spans="1:41" s="155" customFormat="1" ht="15" customHeight="1">
      <c r="A10" s="524"/>
      <c r="B10" s="522"/>
      <c r="C10" s="522"/>
      <c r="D10" s="76"/>
      <c r="E10" s="525"/>
      <c r="F10" s="525"/>
      <c r="G10" s="525"/>
      <c r="H10" s="158"/>
    </row>
    <row r="11" spans="1:41" ht="10.5" customHeight="1">
      <c r="A11" s="159"/>
      <c r="C11" s="160"/>
      <c r="D11" s="161"/>
      <c r="E11" s="162"/>
      <c r="F11" s="163"/>
      <c r="H11" s="164"/>
      <c r="I11" s="164"/>
      <c r="J11" s="164"/>
      <c r="K11" s="164"/>
      <c r="L11" s="164"/>
      <c r="M11" s="164"/>
      <c r="N11" s="164"/>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row>
    <row r="12" spans="1:41" s="155" customFormat="1" ht="44.25" customHeight="1">
      <c r="A12" s="517" t="s">
        <v>492</v>
      </c>
      <c r="B12" s="517"/>
      <c r="C12" s="517"/>
      <c r="D12" s="517"/>
      <c r="E12" s="517"/>
      <c r="F12" s="517"/>
      <c r="G12" s="517"/>
      <c r="H12" s="156"/>
      <c r="I12" s="156"/>
      <c r="J12" s="156"/>
      <c r="K12" s="156"/>
      <c r="L12" s="156"/>
      <c r="M12" s="156"/>
      <c r="N12" s="156"/>
      <c r="O12" s="156"/>
      <c r="P12" s="156"/>
      <c r="Q12" s="156"/>
      <c r="R12" s="156"/>
      <c r="S12" s="156"/>
      <c r="T12" s="156"/>
      <c r="U12" s="156"/>
      <c r="V12" s="156"/>
    </row>
    <row r="13" spans="1:41" s="155" customFormat="1" ht="4.5" customHeight="1">
      <c r="A13" s="526"/>
      <c r="B13" s="527"/>
      <c r="C13" s="527"/>
      <c r="D13" s="527"/>
      <c r="E13" s="527"/>
      <c r="F13" s="527"/>
      <c r="G13" s="527"/>
      <c r="H13" s="165"/>
      <c r="I13" s="165"/>
      <c r="J13" s="165"/>
      <c r="K13" s="165"/>
      <c r="L13" s="158"/>
    </row>
    <row r="14" spans="1:41" s="237" customFormat="1">
      <c r="A14" s="515" t="s">
        <v>2069</v>
      </c>
      <c r="B14" s="515"/>
      <c r="C14" s="515"/>
      <c r="D14" s="515"/>
      <c r="E14" s="515"/>
      <c r="F14" s="515"/>
      <c r="G14" s="515"/>
    </row>
    <row r="15" spans="1:41" s="237" customFormat="1" ht="30">
      <c r="A15" s="512" t="s">
        <v>2070</v>
      </c>
      <c r="B15" s="512"/>
      <c r="C15" s="426" t="s">
        <v>2071</v>
      </c>
      <c r="D15" s="426" t="s">
        <v>2072</v>
      </c>
      <c r="E15" s="426" t="s">
        <v>2073</v>
      </c>
      <c r="F15" s="426" t="s">
        <v>2074</v>
      </c>
      <c r="G15" s="426" t="s">
        <v>2075</v>
      </c>
    </row>
    <row r="16" spans="1:41" s="237" customFormat="1" ht="42.75">
      <c r="A16" s="427" t="s">
        <v>2076</v>
      </c>
      <c r="B16" s="428" t="s">
        <v>2077</v>
      </c>
      <c r="C16" s="427" t="s">
        <v>1400</v>
      </c>
      <c r="D16" s="427" t="s">
        <v>1398</v>
      </c>
      <c r="E16" s="429">
        <v>1</v>
      </c>
      <c r="F16" s="430">
        <v>250</v>
      </c>
      <c r="G16" s="430">
        <v>250</v>
      </c>
    </row>
    <row r="17" spans="1:7" s="237" customFormat="1" ht="28.5">
      <c r="A17" s="427" t="s">
        <v>2078</v>
      </c>
      <c r="B17" s="428" t="s">
        <v>2079</v>
      </c>
      <c r="C17" s="427" t="s">
        <v>1400</v>
      </c>
      <c r="D17" s="427" t="s">
        <v>1416</v>
      </c>
      <c r="E17" s="429">
        <v>4</v>
      </c>
      <c r="F17" s="430">
        <v>8.26</v>
      </c>
      <c r="G17" s="430">
        <v>33.04</v>
      </c>
    </row>
    <row r="18" spans="1:7" s="237" customFormat="1" ht="14.25">
      <c r="A18" s="427" t="s">
        <v>2080</v>
      </c>
      <c r="B18" s="428" t="s">
        <v>2081</v>
      </c>
      <c r="C18" s="427" t="s">
        <v>1400</v>
      </c>
      <c r="D18" s="427" t="s">
        <v>1452</v>
      </c>
      <c r="E18" s="429">
        <v>0.11</v>
      </c>
      <c r="F18" s="430">
        <v>21.72</v>
      </c>
      <c r="G18" s="430">
        <v>2.39</v>
      </c>
    </row>
    <row r="19" spans="1:7" s="237" customFormat="1" ht="42.75">
      <c r="A19" s="427" t="s">
        <v>2082</v>
      </c>
      <c r="B19" s="428" t="s">
        <v>2083</v>
      </c>
      <c r="C19" s="427" t="s">
        <v>1400</v>
      </c>
      <c r="D19" s="427" t="s">
        <v>1416</v>
      </c>
      <c r="E19" s="429">
        <v>1</v>
      </c>
      <c r="F19" s="430">
        <v>10.88</v>
      </c>
      <c r="G19" s="430">
        <v>10.88</v>
      </c>
    </row>
    <row r="20" spans="1:7" s="237" customFormat="1" ht="14.25">
      <c r="A20" s="420"/>
      <c r="B20" s="420"/>
      <c r="C20" s="420"/>
      <c r="D20" s="420"/>
      <c r="E20" s="513" t="s">
        <v>2084</v>
      </c>
      <c r="F20" s="513"/>
      <c r="G20" s="431">
        <v>296.31</v>
      </c>
    </row>
    <row r="21" spans="1:7" s="237" customFormat="1" ht="30">
      <c r="A21" s="512" t="s">
        <v>2085</v>
      </c>
      <c r="B21" s="512"/>
      <c r="C21" s="426" t="s">
        <v>2071</v>
      </c>
      <c r="D21" s="426" t="s">
        <v>2072</v>
      </c>
      <c r="E21" s="426" t="s">
        <v>2073</v>
      </c>
      <c r="F21" s="426" t="s">
        <v>2074</v>
      </c>
      <c r="G21" s="426" t="s">
        <v>2075</v>
      </c>
    </row>
    <row r="22" spans="1:7" s="237" customFormat="1" ht="28.5">
      <c r="A22" s="427" t="s">
        <v>2086</v>
      </c>
      <c r="B22" s="428" t="s">
        <v>2087</v>
      </c>
      <c r="C22" s="427" t="s">
        <v>1400</v>
      </c>
      <c r="D22" s="427" t="s">
        <v>2054</v>
      </c>
      <c r="E22" s="429">
        <v>1</v>
      </c>
      <c r="F22" s="430">
        <v>35.35</v>
      </c>
      <c r="G22" s="430">
        <v>35.35</v>
      </c>
    </row>
    <row r="23" spans="1:7" s="237" customFormat="1" ht="14.25">
      <c r="A23" s="427" t="s">
        <v>2088</v>
      </c>
      <c r="B23" s="428" t="s">
        <v>2089</v>
      </c>
      <c r="C23" s="427" t="s">
        <v>1400</v>
      </c>
      <c r="D23" s="427" t="s">
        <v>2054</v>
      </c>
      <c r="E23" s="429">
        <v>2</v>
      </c>
      <c r="F23" s="430">
        <v>27.47</v>
      </c>
      <c r="G23" s="430">
        <v>54.94</v>
      </c>
    </row>
    <row r="24" spans="1:7" s="237" customFormat="1" ht="14.25">
      <c r="A24" s="420"/>
      <c r="B24" s="420"/>
      <c r="C24" s="420"/>
      <c r="D24" s="420"/>
      <c r="E24" s="513" t="s">
        <v>2090</v>
      </c>
      <c r="F24" s="513"/>
      <c r="G24" s="431">
        <v>90.29</v>
      </c>
    </row>
    <row r="25" spans="1:7" s="237" customFormat="1" ht="30">
      <c r="A25" s="512" t="s">
        <v>2091</v>
      </c>
      <c r="B25" s="512"/>
      <c r="C25" s="426" t="s">
        <v>2071</v>
      </c>
      <c r="D25" s="426" t="s">
        <v>2072</v>
      </c>
      <c r="E25" s="426" t="s">
        <v>2073</v>
      </c>
      <c r="F25" s="426" t="s">
        <v>2074</v>
      </c>
      <c r="G25" s="426" t="s">
        <v>2075</v>
      </c>
    </row>
    <row r="26" spans="1:7" s="237" customFormat="1" ht="42.75">
      <c r="A26" s="427" t="s">
        <v>2092</v>
      </c>
      <c r="B26" s="428" t="s">
        <v>2093</v>
      </c>
      <c r="C26" s="427" t="s">
        <v>1400</v>
      </c>
      <c r="D26" s="427" t="s">
        <v>1422</v>
      </c>
      <c r="E26" s="429">
        <v>0.01</v>
      </c>
      <c r="F26" s="430">
        <v>377.35</v>
      </c>
      <c r="G26" s="430">
        <v>3.77</v>
      </c>
    </row>
    <row r="27" spans="1:7" s="237" customFormat="1" ht="14.25">
      <c r="A27" s="420"/>
      <c r="B27" s="420"/>
      <c r="C27" s="420"/>
      <c r="D27" s="420"/>
      <c r="E27" s="513" t="s">
        <v>2094</v>
      </c>
      <c r="F27" s="513"/>
      <c r="G27" s="431">
        <v>3.77</v>
      </c>
    </row>
    <row r="28" spans="1:7" s="237" customFormat="1">
      <c r="A28" s="420"/>
      <c r="B28" s="420"/>
      <c r="C28" s="420"/>
      <c r="D28" s="420"/>
      <c r="E28" s="483" t="s">
        <v>2095</v>
      </c>
      <c r="F28" s="483"/>
      <c r="G28" s="415">
        <v>390.37</v>
      </c>
    </row>
    <row r="29" spans="1:7" s="237" customFormat="1" ht="14.25">
      <c r="A29" s="420"/>
      <c r="B29" s="420"/>
      <c r="C29" s="514"/>
      <c r="D29" s="514"/>
      <c r="E29" s="420"/>
      <c r="F29" s="420"/>
      <c r="G29" s="420"/>
    </row>
    <row r="30" spans="1:7" s="237" customFormat="1">
      <c r="A30" s="515" t="s">
        <v>2096</v>
      </c>
      <c r="B30" s="515"/>
      <c r="C30" s="515"/>
      <c r="D30" s="515"/>
      <c r="E30" s="515"/>
      <c r="F30" s="515"/>
      <c r="G30" s="515"/>
    </row>
    <row r="31" spans="1:7" s="237" customFormat="1" ht="30">
      <c r="A31" s="512" t="s">
        <v>2070</v>
      </c>
      <c r="B31" s="512"/>
      <c r="C31" s="426" t="s">
        <v>2071</v>
      </c>
      <c r="D31" s="426" t="s">
        <v>2072</v>
      </c>
      <c r="E31" s="426" t="s">
        <v>2073</v>
      </c>
      <c r="F31" s="426" t="s">
        <v>2074</v>
      </c>
      <c r="G31" s="426" t="s">
        <v>2075</v>
      </c>
    </row>
    <row r="32" spans="1:7" s="237" customFormat="1" ht="42.75">
      <c r="A32" s="427" t="s">
        <v>2097</v>
      </c>
      <c r="B32" s="428" t="s">
        <v>2098</v>
      </c>
      <c r="C32" s="427" t="s">
        <v>1400</v>
      </c>
      <c r="D32" s="427" t="s">
        <v>1403</v>
      </c>
      <c r="E32" s="429">
        <v>2</v>
      </c>
      <c r="F32" s="430">
        <v>127.64</v>
      </c>
      <c r="G32" s="430">
        <v>255.28</v>
      </c>
    </row>
    <row r="33" spans="1:7" s="237" customFormat="1" ht="28.5">
      <c r="A33" s="427" t="s">
        <v>2099</v>
      </c>
      <c r="B33" s="428" t="s">
        <v>2100</v>
      </c>
      <c r="C33" s="427" t="s">
        <v>1400</v>
      </c>
      <c r="D33" s="427" t="s">
        <v>1403</v>
      </c>
      <c r="E33" s="429">
        <v>2</v>
      </c>
      <c r="F33" s="430">
        <v>1.01</v>
      </c>
      <c r="G33" s="430">
        <v>2.02</v>
      </c>
    </row>
    <row r="34" spans="1:7" s="237" customFormat="1" ht="42.75">
      <c r="A34" s="427" t="s">
        <v>2101</v>
      </c>
      <c r="B34" s="428" t="s">
        <v>2102</v>
      </c>
      <c r="C34" s="427" t="s">
        <v>1400</v>
      </c>
      <c r="D34" s="427" t="s">
        <v>1403</v>
      </c>
      <c r="E34" s="429">
        <v>2</v>
      </c>
      <c r="F34" s="430">
        <v>1.56</v>
      </c>
      <c r="G34" s="430">
        <v>3.12</v>
      </c>
    </row>
    <row r="35" spans="1:7" s="237" customFormat="1" ht="28.5">
      <c r="A35" s="427" t="s">
        <v>2103</v>
      </c>
      <c r="B35" s="428" t="s">
        <v>2104</v>
      </c>
      <c r="C35" s="427" t="s">
        <v>1400</v>
      </c>
      <c r="D35" s="427" t="s">
        <v>1403</v>
      </c>
      <c r="E35" s="429">
        <v>2</v>
      </c>
      <c r="F35" s="430">
        <v>1.36</v>
      </c>
      <c r="G35" s="430">
        <v>2.72</v>
      </c>
    </row>
    <row r="36" spans="1:7" s="237" customFormat="1" ht="14.25">
      <c r="A36" s="427" t="s">
        <v>2105</v>
      </c>
      <c r="B36" s="428" t="s">
        <v>2106</v>
      </c>
      <c r="C36" s="427" t="s">
        <v>1400</v>
      </c>
      <c r="D36" s="427" t="s">
        <v>1416</v>
      </c>
      <c r="E36" s="429">
        <v>3</v>
      </c>
      <c r="F36" s="430">
        <v>15.63</v>
      </c>
      <c r="G36" s="430">
        <v>46.89</v>
      </c>
    </row>
    <row r="37" spans="1:7" s="237" customFormat="1" ht="42.75">
      <c r="A37" s="427" t="s">
        <v>2107</v>
      </c>
      <c r="B37" s="428" t="s">
        <v>2108</v>
      </c>
      <c r="C37" s="427" t="s">
        <v>1400</v>
      </c>
      <c r="D37" s="427" t="s">
        <v>1403</v>
      </c>
      <c r="E37" s="429">
        <v>1</v>
      </c>
      <c r="F37" s="430">
        <v>262.39999999999998</v>
      </c>
      <c r="G37" s="430">
        <v>262.39999999999998</v>
      </c>
    </row>
    <row r="38" spans="1:7" s="237" customFormat="1" ht="42.75">
      <c r="A38" s="427" t="s">
        <v>2109</v>
      </c>
      <c r="B38" s="428" t="s">
        <v>2110</v>
      </c>
      <c r="C38" s="427" t="s">
        <v>1400</v>
      </c>
      <c r="D38" s="427" t="s">
        <v>1403</v>
      </c>
      <c r="E38" s="429">
        <v>2</v>
      </c>
      <c r="F38" s="430">
        <v>38.47</v>
      </c>
      <c r="G38" s="430">
        <v>76.94</v>
      </c>
    </row>
    <row r="39" spans="1:7" s="237" customFormat="1" ht="28.5">
      <c r="A39" s="427" t="s">
        <v>2111</v>
      </c>
      <c r="B39" s="428" t="s">
        <v>2112</v>
      </c>
      <c r="C39" s="427" t="s">
        <v>1400</v>
      </c>
      <c r="D39" s="427" t="s">
        <v>1403</v>
      </c>
      <c r="E39" s="429">
        <v>8</v>
      </c>
      <c r="F39" s="430">
        <v>7.68</v>
      </c>
      <c r="G39" s="430">
        <v>61.44</v>
      </c>
    </row>
    <row r="40" spans="1:7" s="237" customFormat="1" ht="28.5">
      <c r="A40" s="427" t="s">
        <v>2113</v>
      </c>
      <c r="B40" s="428" t="s">
        <v>2114</v>
      </c>
      <c r="C40" s="427" t="s">
        <v>1400</v>
      </c>
      <c r="D40" s="427" t="s">
        <v>1403</v>
      </c>
      <c r="E40" s="429">
        <v>2</v>
      </c>
      <c r="F40" s="430">
        <v>6.86</v>
      </c>
      <c r="G40" s="430">
        <v>13.72</v>
      </c>
    </row>
    <row r="41" spans="1:7" s="237" customFormat="1" ht="28.5">
      <c r="A41" s="427" t="s">
        <v>2115</v>
      </c>
      <c r="B41" s="428" t="s">
        <v>2116</v>
      </c>
      <c r="C41" s="427" t="s">
        <v>1400</v>
      </c>
      <c r="D41" s="427" t="s">
        <v>1403</v>
      </c>
      <c r="E41" s="429">
        <v>1</v>
      </c>
      <c r="F41" s="430">
        <v>62.29</v>
      </c>
      <c r="G41" s="430">
        <v>62.29</v>
      </c>
    </row>
    <row r="42" spans="1:7" s="237" customFormat="1" ht="14.25">
      <c r="A42" s="427" t="s">
        <v>2117</v>
      </c>
      <c r="B42" s="428" t="s">
        <v>2118</v>
      </c>
      <c r="C42" s="427" t="s">
        <v>1400</v>
      </c>
      <c r="D42" s="427" t="s">
        <v>1416</v>
      </c>
      <c r="E42" s="429">
        <v>8</v>
      </c>
      <c r="F42" s="430">
        <v>7.45</v>
      </c>
      <c r="G42" s="430">
        <v>59.6</v>
      </c>
    </row>
    <row r="43" spans="1:7" s="237" customFormat="1" ht="28.5">
      <c r="A43" s="427" t="s">
        <v>2119</v>
      </c>
      <c r="B43" s="428" t="s">
        <v>2120</v>
      </c>
      <c r="C43" s="427" t="s">
        <v>1400</v>
      </c>
      <c r="D43" s="427" t="s">
        <v>1416</v>
      </c>
      <c r="E43" s="429">
        <v>27</v>
      </c>
      <c r="F43" s="430">
        <v>7.98</v>
      </c>
      <c r="G43" s="430">
        <v>215.46</v>
      </c>
    </row>
    <row r="44" spans="1:7" s="237" customFormat="1" ht="28.5">
      <c r="A44" s="427" t="s">
        <v>2121</v>
      </c>
      <c r="B44" s="428" t="s">
        <v>2122</v>
      </c>
      <c r="C44" s="427" t="s">
        <v>1400</v>
      </c>
      <c r="D44" s="427" t="s">
        <v>1403</v>
      </c>
      <c r="E44" s="429">
        <v>0.13333329999999999</v>
      </c>
      <c r="F44" s="430">
        <v>93.03</v>
      </c>
      <c r="G44" s="430">
        <v>12.4</v>
      </c>
    </row>
    <row r="45" spans="1:7" s="237" customFormat="1" ht="42.75">
      <c r="A45" s="427" t="s">
        <v>2123</v>
      </c>
      <c r="B45" s="428" t="s">
        <v>2124</v>
      </c>
      <c r="C45" s="427" t="s">
        <v>1400</v>
      </c>
      <c r="D45" s="427" t="s">
        <v>1403</v>
      </c>
      <c r="E45" s="429">
        <v>1</v>
      </c>
      <c r="F45" s="430">
        <v>57.2</v>
      </c>
      <c r="G45" s="430">
        <v>57.2</v>
      </c>
    </row>
    <row r="46" spans="1:7" s="237" customFormat="1" ht="28.5">
      <c r="A46" s="427" t="s">
        <v>2125</v>
      </c>
      <c r="B46" s="428" t="s">
        <v>2126</v>
      </c>
      <c r="C46" s="427" t="s">
        <v>1400</v>
      </c>
      <c r="D46" s="427" t="s">
        <v>1403</v>
      </c>
      <c r="E46" s="429">
        <v>4</v>
      </c>
      <c r="F46" s="430">
        <v>2.42</v>
      </c>
      <c r="G46" s="430">
        <v>9.68</v>
      </c>
    </row>
    <row r="47" spans="1:7" s="237" customFormat="1" ht="42.75">
      <c r="A47" s="427" t="s">
        <v>2127</v>
      </c>
      <c r="B47" s="428" t="s">
        <v>2128</v>
      </c>
      <c r="C47" s="427" t="s">
        <v>1400</v>
      </c>
      <c r="D47" s="427" t="s">
        <v>1403</v>
      </c>
      <c r="E47" s="429">
        <v>2</v>
      </c>
      <c r="F47" s="430">
        <v>11.71</v>
      </c>
      <c r="G47" s="430">
        <v>23.42</v>
      </c>
    </row>
    <row r="48" spans="1:7" s="237" customFormat="1" ht="28.5">
      <c r="A48" s="427" t="s">
        <v>2129</v>
      </c>
      <c r="B48" s="428" t="s">
        <v>2130</v>
      </c>
      <c r="C48" s="427" t="s">
        <v>1400</v>
      </c>
      <c r="D48" s="427" t="s">
        <v>1416</v>
      </c>
      <c r="E48" s="429">
        <v>7.96</v>
      </c>
      <c r="F48" s="430">
        <v>100.25</v>
      </c>
      <c r="G48" s="430">
        <v>797.99</v>
      </c>
    </row>
    <row r="49" spans="1:7" s="237" customFormat="1" ht="14.25">
      <c r="A49" s="420"/>
      <c r="B49" s="420"/>
      <c r="C49" s="420"/>
      <c r="D49" s="420"/>
      <c r="E49" s="513" t="s">
        <v>2084</v>
      </c>
      <c r="F49" s="513"/>
      <c r="G49" s="431">
        <v>1962.57</v>
      </c>
    </row>
    <row r="50" spans="1:7" s="237" customFormat="1" ht="30">
      <c r="A50" s="512" t="s">
        <v>2085</v>
      </c>
      <c r="B50" s="512"/>
      <c r="C50" s="426" t="s">
        <v>2071</v>
      </c>
      <c r="D50" s="426" t="s">
        <v>2072</v>
      </c>
      <c r="E50" s="426" t="s">
        <v>2073</v>
      </c>
      <c r="F50" s="426" t="s">
        <v>2074</v>
      </c>
      <c r="G50" s="426" t="s">
        <v>2075</v>
      </c>
    </row>
    <row r="51" spans="1:7" s="237" customFormat="1" ht="14.25">
      <c r="A51" s="427" t="s">
        <v>2131</v>
      </c>
      <c r="B51" s="428" t="s">
        <v>2132</v>
      </c>
      <c r="C51" s="427" t="s">
        <v>1400</v>
      </c>
      <c r="D51" s="427" t="s">
        <v>2054</v>
      </c>
      <c r="E51" s="429">
        <v>8</v>
      </c>
      <c r="F51" s="430">
        <v>36</v>
      </c>
      <c r="G51" s="430">
        <v>288</v>
      </c>
    </row>
    <row r="52" spans="1:7" s="237" customFormat="1" ht="14.25">
      <c r="A52" s="427" t="s">
        <v>2088</v>
      </c>
      <c r="B52" s="428" t="s">
        <v>2089</v>
      </c>
      <c r="C52" s="427" t="s">
        <v>1400</v>
      </c>
      <c r="D52" s="427" t="s">
        <v>2054</v>
      </c>
      <c r="E52" s="429">
        <v>8</v>
      </c>
      <c r="F52" s="430">
        <v>27.47</v>
      </c>
      <c r="G52" s="430">
        <v>219.76</v>
      </c>
    </row>
    <row r="53" spans="1:7" s="237" customFormat="1" ht="14.25">
      <c r="A53" s="420"/>
      <c r="B53" s="420"/>
      <c r="C53" s="420"/>
      <c r="D53" s="420"/>
      <c r="E53" s="513" t="s">
        <v>2090</v>
      </c>
      <c r="F53" s="513"/>
      <c r="G53" s="431">
        <v>507.76</v>
      </c>
    </row>
    <row r="54" spans="1:7" s="237" customFormat="1">
      <c r="A54" s="420"/>
      <c r="B54" s="420"/>
      <c r="C54" s="420"/>
      <c r="D54" s="420"/>
      <c r="E54" s="483" t="s">
        <v>2095</v>
      </c>
      <c r="F54" s="483"/>
      <c r="G54" s="415">
        <v>2470.33</v>
      </c>
    </row>
    <row r="55" spans="1:7" s="237" customFormat="1" ht="14.25">
      <c r="A55" s="420"/>
      <c r="B55" s="420"/>
      <c r="C55" s="514"/>
      <c r="D55" s="514"/>
      <c r="E55" s="420"/>
      <c r="F55" s="420"/>
      <c r="G55" s="420"/>
    </row>
    <row r="56" spans="1:7" s="237" customFormat="1" ht="31.5" customHeight="1">
      <c r="A56" s="515" t="s">
        <v>2133</v>
      </c>
      <c r="B56" s="515"/>
      <c r="C56" s="515"/>
      <c r="D56" s="515"/>
      <c r="E56" s="515"/>
      <c r="F56" s="515"/>
      <c r="G56" s="515"/>
    </row>
    <row r="57" spans="1:7" s="237" customFormat="1" ht="30">
      <c r="A57" s="512" t="s">
        <v>2070</v>
      </c>
      <c r="B57" s="512"/>
      <c r="C57" s="426" t="s">
        <v>2071</v>
      </c>
      <c r="D57" s="426" t="s">
        <v>2072</v>
      </c>
      <c r="E57" s="426" t="s">
        <v>2073</v>
      </c>
      <c r="F57" s="426" t="s">
        <v>2074</v>
      </c>
      <c r="G57" s="426" t="s">
        <v>2075</v>
      </c>
    </row>
    <row r="58" spans="1:7" s="237" customFormat="1" ht="28.5">
      <c r="A58" s="427" t="s">
        <v>2134</v>
      </c>
      <c r="B58" s="428" t="s">
        <v>2135</v>
      </c>
      <c r="C58" s="427" t="s">
        <v>1400</v>
      </c>
      <c r="D58" s="427" t="s">
        <v>1452</v>
      </c>
      <c r="E58" s="429">
        <v>1.4</v>
      </c>
      <c r="F58" s="430">
        <v>8.39</v>
      </c>
      <c r="G58" s="430">
        <v>11.75</v>
      </c>
    </row>
    <row r="59" spans="1:7" s="237" customFormat="1" ht="28.5">
      <c r="A59" s="427" t="s">
        <v>2136</v>
      </c>
      <c r="B59" s="428" t="s">
        <v>2137</v>
      </c>
      <c r="C59" s="427" t="s">
        <v>1400</v>
      </c>
      <c r="D59" s="427" t="s">
        <v>1452</v>
      </c>
      <c r="E59" s="429">
        <v>0.05</v>
      </c>
      <c r="F59" s="430">
        <v>31.96</v>
      </c>
      <c r="G59" s="430">
        <v>1.6</v>
      </c>
    </row>
    <row r="60" spans="1:7" s="237" customFormat="1" ht="28.5">
      <c r="A60" s="427" t="s">
        <v>2138</v>
      </c>
      <c r="B60" s="428" t="s">
        <v>2139</v>
      </c>
      <c r="C60" s="427" t="s">
        <v>1400</v>
      </c>
      <c r="D60" s="427" t="s">
        <v>1422</v>
      </c>
      <c r="E60" s="429">
        <v>0.1</v>
      </c>
      <c r="F60" s="430">
        <v>91.17</v>
      </c>
      <c r="G60" s="430">
        <v>9.1199999999999992</v>
      </c>
    </row>
    <row r="61" spans="1:7" s="237" customFormat="1" ht="42.75">
      <c r="A61" s="427" t="s">
        <v>2140</v>
      </c>
      <c r="B61" s="428" t="s">
        <v>2141</v>
      </c>
      <c r="C61" s="427" t="s">
        <v>1400</v>
      </c>
      <c r="D61" s="427" t="s">
        <v>1403</v>
      </c>
      <c r="E61" s="429">
        <v>62.5</v>
      </c>
      <c r="F61" s="430">
        <v>0.7</v>
      </c>
      <c r="G61" s="430">
        <v>43.75</v>
      </c>
    </row>
    <row r="62" spans="1:7" s="237" customFormat="1" ht="14.25">
      <c r="A62" s="427" t="s">
        <v>2142</v>
      </c>
      <c r="B62" s="428" t="s">
        <v>2143</v>
      </c>
      <c r="C62" s="427" t="s">
        <v>1400</v>
      </c>
      <c r="D62" s="427" t="s">
        <v>1452</v>
      </c>
      <c r="E62" s="429">
        <v>30</v>
      </c>
      <c r="F62" s="430">
        <v>0.64</v>
      </c>
      <c r="G62" s="430">
        <v>19.2</v>
      </c>
    </row>
    <row r="63" spans="1:7" s="237" customFormat="1" ht="28.5">
      <c r="A63" s="427" t="s">
        <v>2144</v>
      </c>
      <c r="B63" s="428" t="s">
        <v>2145</v>
      </c>
      <c r="C63" s="427" t="s">
        <v>1400</v>
      </c>
      <c r="D63" s="427" t="s">
        <v>1422</v>
      </c>
      <c r="E63" s="429">
        <v>0.05</v>
      </c>
      <c r="F63" s="430">
        <v>98.6</v>
      </c>
      <c r="G63" s="430">
        <v>4.93</v>
      </c>
    </row>
    <row r="64" spans="1:7" s="237" customFormat="1" ht="14.25">
      <c r="A64" s="427" t="s">
        <v>2146</v>
      </c>
      <c r="B64" s="428" t="s">
        <v>2147</v>
      </c>
      <c r="C64" s="427" t="s">
        <v>1400</v>
      </c>
      <c r="D64" s="427" t="s">
        <v>1452</v>
      </c>
      <c r="E64" s="429">
        <v>0.02</v>
      </c>
      <c r="F64" s="430">
        <v>21.35</v>
      </c>
      <c r="G64" s="430">
        <v>0.43</v>
      </c>
    </row>
    <row r="65" spans="1:7" s="237" customFormat="1" ht="42.75">
      <c r="A65" s="427" t="s">
        <v>2148</v>
      </c>
      <c r="B65" s="428" t="s">
        <v>2149</v>
      </c>
      <c r="C65" s="427" t="s">
        <v>1400</v>
      </c>
      <c r="D65" s="427" t="s">
        <v>1416</v>
      </c>
      <c r="E65" s="429">
        <v>0.3</v>
      </c>
      <c r="F65" s="430">
        <v>41.25</v>
      </c>
      <c r="G65" s="430">
        <v>12.38</v>
      </c>
    </row>
    <row r="66" spans="1:7" s="237" customFormat="1" ht="28.5">
      <c r="A66" s="427" t="s">
        <v>2150</v>
      </c>
      <c r="B66" s="428" t="s">
        <v>2151</v>
      </c>
      <c r="C66" s="427" t="s">
        <v>1400</v>
      </c>
      <c r="D66" s="427" t="s">
        <v>1416</v>
      </c>
      <c r="E66" s="429">
        <v>10</v>
      </c>
      <c r="F66" s="430">
        <v>15.5</v>
      </c>
      <c r="G66" s="430">
        <v>155</v>
      </c>
    </row>
    <row r="67" spans="1:7" s="237" customFormat="1" ht="14.25">
      <c r="A67" s="420"/>
      <c r="B67" s="420"/>
      <c r="C67" s="420"/>
      <c r="D67" s="420"/>
      <c r="E67" s="513" t="s">
        <v>2084</v>
      </c>
      <c r="F67" s="513"/>
      <c r="G67" s="431">
        <v>258.16000000000003</v>
      </c>
    </row>
    <row r="68" spans="1:7" s="237" customFormat="1" ht="30">
      <c r="A68" s="512" t="s">
        <v>2085</v>
      </c>
      <c r="B68" s="512"/>
      <c r="C68" s="426" t="s">
        <v>2071</v>
      </c>
      <c r="D68" s="426" t="s">
        <v>2072</v>
      </c>
      <c r="E68" s="426" t="s">
        <v>2073</v>
      </c>
      <c r="F68" s="426" t="s">
        <v>2074</v>
      </c>
      <c r="G68" s="426" t="s">
        <v>2075</v>
      </c>
    </row>
    <row r="69" spans="1:7" s="237" customFormat="1" ht="28.5">
      <c r="A69" s="427" t="s">
        <v>2152</v>
      </c>
      <c r="B69" s="428" t="s">
        <v>2153</v>
      </c>
      <c r="C69" s="427" t="s">
        <v>1400</v>
      </c>
      <c r="D69" s="427" t="s">
        <v>2054</v>
      </c>
      <c r="E69" s="429">
        <v>10</v>
      </c>
      <c r="F69" s="430">
        <v>35.380000000000003</v>
      </c>
      <c r="G69" s="430">
        <v>353.8</v>
      </c>
    </row>
    <row r="70" spans="1:7" s="237" customFormat="1" ht="14.25">
      <c r="A70" s="427" t="s">
        <v>2088</v>
      </c>
      <c r="B70" s="428" t="s">
        <v>2089</v>
      </c>
      <c r="C70" s="427" t="s">
        <v>1400</v>
      </c>
      <c r="D70" s="427" t="s">
        <v>2054</v>
      </c>
      <c r="E70" s="429">
        <v>10</v>
      </c>
      <c r="F70" s="430">
        <v>27.47</v>
      </c>
      <c r="G70" s="430">
        <v>274.7</v>
      </c>
    </row>
    <row r="71" spans="1:7" s="237" customFormat="1" ht="14.25">
      <c r="A71" s="420"/>
      <c r="B71" s="420"/>
      <c r="C71" s="420"/>
      <c r="D71" s="420"/>
      <c r="E71" s="513" t="s">
        <v>2090</v>
      </c>
      <c r="F71" s="513"/>
      <c r="G71" s="431">
        <v>628.5</v>
      </c>
    </row>
    <row r="72" spans="1:7" s="237" customFormat="1">
      <c r="A72" s="420"/>
      <c r="B72" s="420"/>
      <c r="C72" s="420"/>
      <c r="D72" s="420"/>
      <c r="E72" s="483" t="s">
        <v>2095</v>
      </c>
      <c r="F72" s="483"/>
      <c r="G72" s="415">
        <v>886.66</v>
      </c>
    </row>
    <row r="73" spans="1:7" s="237" customFormat="1" ht="14.25">
      <c r="A73" s="420"/>
      <c r="B73" s="420"/>
      <c r="C73" s="514"/>
      <c r="D73" s="514"/>
      <c r="E73" s="420"/>
      <c r="F73" s="420"/>
      <c r="G73" s="420"/>
    </row>
    <row r="74" spans="1:7" s="237" customFormat="1" ht="32.25" customHeight="1">
      <c r="A74" s="515" t="s">
        <v>2154</v>
      </c>
      <c r="B74" s="515"/>
      <c r="C74" s="515"/>
      <c r="D74" s="515"/>
      <c r="E74" s="515"/>
      <c r="F74" s="515"/>
      <c r="G74" s="515"/>
    </row>
    <row r="75" spans="1:7" s="237" customFormat="1" ht="30">
      <c r="A75" s="512" t="s">
        <v>2070</v>
      </c>
      <c r="B75" s="512"/>
      <c r="C75" s="426" t="s">
        <v>2071</v>
      </c>
      <c r="D75" s="426" t="s">
        <v>2072</v>
      </c>
      <c r="E75" s="426" t="s">
        <v>2073</v>
      </c>
      <c r="F75" s="426" t="s">
        <v>2074</v>
      </c>
      <c r="G75" s="426" t="s">
        <v>2075</v>
      </c>
    </row>
    <row r="76" spans="1:7" s="237" customFormat="1" ht="28.5">
      <c r="A76" s="427" t="s">
        <v>2136</v>
      </c>
      <c r="B76" s="428" t="s">
        <v>2137</v>
      </c>
      <c r="C76" s="427" t="s">
        <v>1400</v>
      </c>
      <c r="D76" s="427" t="s">
        <v>1452</v>
      </c>
      <c r="E76" s="429">
        <v>0.02</v>
      </c>
      <c r="F76" s="430">
        <v>31.96</v>
      </c>
      <c r="G76" s="430">
        <v>0.64</v>
      </c>
    </row>
    <row r="77" spans="1:7" s="237" customFormat="1" ht="28.5">
      <c r="A77" s="427" t="s">
        <v>2078</v>
      </c>
      <c r="B77" s="428" t="s">
        <v>2079</v>
      </c>
      <c r="C77" s="427" t="s">
        <v>1400</v>
      </c>
      <c r="D77" s="427" t="s">
        <v>1416</v>
      </c>
      <c r="E77" s="429">
        <v>0.12</v>
      </c>
      <c r="F77" s="430">
        <v>8.26</v>
      </c>
      <c r="G77" s="430">
        <v>0.99</v>
      </c>
    </row>
    <row r="78" spans="1:7" s="237" customFormat="1" ht="14.25">
      <c r="A78" s="427" t="s">
        <v>2146</v>
      </c>
      <c r="B78" s="428" t="s">
        <v>2147</v>
      </c>
      <c r="C78" s="427" t="s">
        <v>1400</v>
      </c>
      <c r="D78" s="427" t="s">
        <v>1452</v>
      </c>
      <c r="E78" s="429">
        <v>0.01</v>
      </c>
      <c r="F78" s="430">
        <v>21.35</v>
      </c>
      <c r="G78" s="430">
        <v>0.21</v>
      </c>
    </row>
    <row r="79" spans="1:7" s="237" customFormat="1" ht="28.5">
      <c r="A79" s="427" t="s">
        <v>2155</v>
      </c>
      <c r="B79" s="428" t="s">
        <v>2156</v>
      </c>
      <c r="C79" s="427" t="s">
        <v>1400</v>
      </c>
      <c r="D79" s="427" t="s">
        <v>1416</v>
      </c>
      <c r="E79" s="429">
        <v>0.1067</v>
      </c>
      <c r="F79" s="430">
        <v>9.33</v>
      </c>
      <c r="G79" s="430">
        <v>1</v>
      </c>
    </row>
    <row r="80" spans="1:7" s="237" customFormat="1" ht="14.25">
      <c r="A80" s="420"/>
      <c r="B80" s="420"/>
      <c r="C80" s="420"/>
      <c r="D80" s="420"/>
      <c r="E80" s="513" t="s">
        <v>2084</v>
      </c>
      <c r="F80" s="513"/>
      <c r="G80" s="431">
        <v>2.84</v>
      </c>
    </row>
    <row r="81" spans="1:7" s="237" customFormat="1" ht="30">
      <c r="A81" s="512" t="s">
        <v>2085</v>
      </c>
      <c r="B81" s="512"/>
      <c r="C81" s="426" t="s">
        <v>2071</v>
      </c>
      <c r="D81" s="426" t="s">
        <v>2072</v>
      </c>
      <c r="E81" s="426" t="s">
        <v>2073</v>
      </c>
      <c r="F81" s="426" t="s">
        <v>2074</v>
      </c>
      <c r="G81" s="426" t="s">
        <v>2075</v>
      </c>
    </row>
    <row r="82" spans="1:7" s="237" customFormat="1" ht="28.5">
      <c r="A82" s="427" t="s">
        <v>2086</v>
      </c>
      <c r="B82" s="428" t="s">
        <v>2087</v>
      </c>
      <c r="C82" s="427" t="s">
        <v>1400</v>
      </c>
      <c r="D82" s="427" t="s">
        <v>2054</v>
      </c>
      <c r="E82" s="429">
        <v>0.1</v>
      </c>
      <c r="F82" s="430">
        <v>35.35</v>
      </c>
      <c r="G82" s="430">
        <v>3.54</v>
      </c>
    </row>
    <row r="83" spans="1:7" s="237" customFormat="1" ht="14.25">
      <c r="A83" s="427" t="s">
        <v>2088</v>
      </c>
      <c r="B83" s="428" t="s">
        <v>2089</v>
      </c>
      <c r="C83" s="427" t="s">
        <v>1400</v>
      </c>
      <c r="D83" s="427" t="s">
        <v>2054</v>
      </c>
      <c r="E83" s="429">
        <v>0.1</v>
      </c>
      <c r="F83" s="430">
        <v>27.47</v>
      </c>
      <c r="G83" s="430">
        <v>2.75</v>
      </c>
    </row>
    <row r="84" spans="1:7" s="237" customFormat="1" ht="14.25">
      <c r="A84" s="420"/>
      <c r="B84" s="420"/>
      <c r="C84" s="420"/>
      <c r="D84" s="420"/>
      <c r="E84" s="513" t="s">
        <v>2090</v>
      </c>
      <c r="F84" s="513"/>
      <c r="G84" s="431">
        <v>6.29</v>
      </c>
    </row>
    <row r="85" spans="1:7" s="237" customFormat="1">
      <c r="A85" s="420"/>
      <c r="B85" s="420"/>
      <c r="C85" s="420"/>
      <c r="D85" s="420"/>
      <c r="E85" s="483" t="s">
        <v>2095</v>
      </c>
      <c r="F85" s="483"/>
      <c r="G85" s="415">
        <v>9.1300000000000008</v>
      </c>
    </row>
    <row r="86" spans="1:7" s="237" customFormat="1" ht="14.25">
      <c r="A86" s="420"/>
      <c r="B86" s="420"/>
      <c r="C86" s="514"/>
      <c r="D86" s="514"/>
      <c r="E86" s="420"/>
      <c r="F86" s="420"/>
      <c r="G86" s="420"/>
    </row>
    <row r="87" spans="1:7" s="237" customFormat="1">
      <c r="A87" s="515" t="s">
        <v>2157</v>
      </c>
      <c r="B87" s="515"/>
      <c r="C87" s="515"/>
      <c r="D87" s="515"/>
      <c r="E87" s="515"/>
      <c r="F87" s="515"/>
      <c r="G87" s="515"/>
    </row>
    <row r="88" spans="1:7" s="237" customFormat="1" ht="30">
      <c r="A88" s="512" t="s">
        <v>2091</v>
      </c>
      <c r="B88" s="512"/>
      <c r="C88" s="426" t="s">
        <v>2071</v>
      </c>
      <c r="D88" s="426" t="s">
        <v>2072</v>
      </c>
      <c r="E88" s="426" t="s">
        <v>2073</v>
      </c>
      <c r="F88" s="426" t="s">
        <v>2074</v>
      </c>
      <c r="G88" s="426" t="s">
        <v>2075</v>
      </c>
    </row>
    <row r="89" spans="1:7" s="237" customFormat="1" ht="99.75">
      <c r="A89" s="427" t="s">
        <v>2158</v>
      </c>
      <c r="B89" s="428" t="s">
        <v>2159</v>
      </c>
      <c r="C89" s="427" t="s">
        <v>1099</v>
      </c>
      <c r="D89" s="427" t="s">
        <v>1398</v>
      </c>
      <c r="E89" s="429">
        <v>1103.1400000000001</v>
      </c>
      <c r="F89" s="430">
        <v>54.55</v>
      </c>
      <c r="G89" s="430">
        <v>60176.29</v>
      </c>
    </row>
    <row r="90" spans="1:7" s="237" customFormat="1" ht="85.5">
      <c r="A90" s="427" t="s">
        <v>2160</v>
      </c>
      <c r="B90" s="428" t="s">
        <v>2161</v>
      </c>
      <c r="C90" s="427" t="s">
        <v>1099</v>
      </c>
      <c r="D90" s="427" t="s">
        <v>1398</v>
      </c>
      <c r="E90" s="429">
        <v>1103.1400000000001</v>
      </c>
      <c r="F90" s="430">
        <v>8.43</v>
      </c>
      <c r="G90" s="430">
        <v>9299.4699999999993</v>
      </c>
    </row>
    <row r="91" spans="1:7" s="237" customFormat="1" ht="71.25">
      <c r="A91" s="427" t="s">
        <v>2162</v>
      </c>
      <c r="B91" s="428" t="s">
        <v>2163</v>
      </c>
      <c r="C91" s="427" t="s">
        <v>1099</v>
      </c>
      <c r="D91" s="427" t="s">
        <v>1398</v>
      </c>
      <c r="E91" s="429">
        <v>1103.1400000000001</v>
      </c>
      <c r="F91" s="430">
        <v>2.5099999999999998</v>
      </c>
      <c r="G91" s="430">
        <v>2768.88</v>
      </c>
    </row>
    <row r="92" spans="1:7" s="237" customFormat="1" ht="85.5">
      <c r="A92" s="427" t="s">
        <v>2164</v>
      </c>
      <c r="B92" s="428" t="s">
        <v>2165</v>
      </c>
      <c r="C92" s="427" t="s">
        <v>1099</v>
      </c>
      <c r="D92" s="427" t="s">
        <v>1398</v>
      </c>
      <c r="E92" s="429">
        <v>1103.1400000000001</v>
      </c>
      <c r="F92" s="430">
        <v>4.99</v>
      </c>
      <c r="G92" s="430">
        <v>5504.67</v>
      </c>
    </row>
    <row r="93" spans="1:7" s="237" customFormat="1" ht="71.25">
      <c r="A93" s="427" t="s">
        <v>2166</v>
      </c>
      <c r="B93" s="428" t="s">
        <v>2167</v>
      </c>
      <c r="C93" s="427" t="s">
        <v>1099</v>
      </c>
      <c r="D93" s="427" t="s">
        <v>1398</v>
      </c>
      <c r="E93" s="429">
        <v>1103.1400000000001</v>
      </c>
      <c r="F93" s="430">
        <v>4.5</v>
      </c>
      <c r="G93" s="430">
        <v>4964.13</v>
      </c>
    </row>
    <row r="94" spans="1:7" s="237" customFormat="1" ht="71.25">
      <c r="A94" s="427" t="s">
        <v>2168</v>
      </c>
      <c r="B94" s="428" t="s">
        <v>2169</v>
      </c>
      <c r="C94" s="427" t="s">
        <v>1099</v>
      </c>
      <c r="D94" s="427" t="s">
        <v>1398</v>
      </c>
      <c r="E94" s="429">
        <v>1103.1400000000001</v>
      </c>
      <c r="F94" s="430">
        <v>15.25</v>
      </c>
      <c r="G94" s="430">
        <v>16822.89</v>
      </c>
    </row>
    <row r="95" spans="1:7" s="237" customFormat="1" ht="71.25">
      <c r="A95" s="427" t="s">
        <v>2170</v>
      </c>
      <c r="B95" s="428" t="s">
        <v>2171</v>
      </c>
      <c r="C95" s="427" t="s">
        <v>1099</v>
      </c>
      <c r="D95" s="427" t="s">
        <v>1398</v>
      </c>
      <c r="E95" s="429">
        <v>1103.1400000000001</v>
      </c>
      <c r="F95" s="430">
        <v>9.1</v>
      </c>
      <c r="G95" s="430">
        <v>10038.57</v>
      </c>
    </row>
    <row r="96" spans="1:7" s="237" customFormat="1" ht="57">
      <c r="A96" s="427" t="s">
        <v>2172</v>
      </c>
      <c r="B96" s="428" t="s">
        <v>2173</v>
      </c>
      <c r="C96" s="427" t="s">
        <v>1099</v>
      </c>
      <c r="D96" s="427" t="s">
        <v>1398</v>
      </c>
      <c r="E96" s="429">
        <v>1103.1400000000001</v>
      </c>
      <c r="F96" s="430">
        <v>11.64</v>
      </c>
      <c r="G96" s="430">
        <v>12840.55</v>
      </c>
    </row>
    <row r="97" spans="1:7" s="237" customFormat="1" ht="85.5">
      <c r="A97" s="427" t="s">
        <v>2174</v>
      </c>
      <c r="B97" s="428" t="s">
        <v>2175</v>
      </c>
      <c r="C97" s="427" t="s">
        <v>1099</v>
      </c>
      <c r="D97" s="427" t="s">
        <v>1398</v>
      </c>
      <c r="E97" s="429">
        <v>1103.1400000000001</v>
      </c>
      <c r="F97" s="430">
        <v>31.29</v>
      </c>
      <c r="G97" s="430">
        <v>34517.25</v>
      </c>
    </row>
    <row r="98" spans="1:7" s="237" customFormat="1" ht="14.25">
      <c r="A98" s="420"/>
      <c r="B98" s="420"/>
      <c r="C98" s="420"/>
      <c r="D98" s="420"/>
      <c r="E98" s="513" t="s">
        <v>2094</v>
      </c>
      <c r="F98" s="513"/>
      <c r="G98" s="431">
        <v>156932.70000000001</v>
      </c>
    </row>
    <row r="99" spans="1:7" s="237" customFormat="1">
      <c r="A99" s="420"/>
      <c r="B99" s="420"/>
      <c r="C99" s="420"/>
      <c r="D99" s="420"/>
      <c r="E99" s="483" t="s">
        <v>2095</v>
      </c>
      <c r="F99" s="483"/>
      <c r="G99" s="415">
        <v>156932.70000000001</v>
      </c>
    </row>
    <row r="100" spans="1:7" s="237" customFormat="1" ht="14.25">
      <c r="A100" s="420"/>
      <c r="B100" s="420"/>
      <c r="C100" s="514"/>
      <c r="D100" s="514"/>
      <c r="E100" s="420"/>
      <c r="F100" s="420"/>
      <c r="G100" s="420"/>
    </row>
    <row r="101" spans="1:7" s="237" customFormat="1">
      <c r="A101" s="515" t="s">
        <v>2176</v>
      </c>
      <c r="B101" s="515"/>
      <c r="C101" s="515"/>
      <c r="D101" s="515"/>
      <c r="E101" s="515"/>
      <c r="F101" s="515"/>
      <c r="G101" s="515"/>
    </row>
    <row r="102" spans="1:7" s="237" customFormat="1" ht="30">
      <c r="A102" s="512" t="s">
        <v>2085</v>
      </c>
      <c r="B102" s="512"/>
      <c r="C102" s="426" t="s">
        <v>2071</v>
      </c>
      <c r="D102" s="426" t="s">
        <v>2072</v>
      </c>
      <c r="E102" s="426" t="s">
        <v>2073</v>
      </c>
      <c r="F102" s="426" t="s">
        <v>2074</v>
      </c>
      <c r="G102" s="426" t="s">
        <v>2075</v>
      </c>
    </row>
    <row r="103" spans="1:7" s="237" customFormat="1" ht="14.25">
      <c r="A103" s="427" t="s">
        <v>2088</v>
      </c>
      <c r="B103" s="428" t="s">
        <v>2089</v>
      </c>
      <c r="C103" s="427" t="s">
        <v>1400</v>
      </c>
      <c r="D103" s="427" t="s">
        <v>2054</v>
      </c>
      <c r="E103" s="429">
        <v>0.3</v>
      </c>
      <c r="F103" s="430">
        <v>27.47</v>
      </c>
      <c r="G103" s="430">
        <v>8.24</v>
      </c>
    </row>
    <row r="104" spans="1:7" s="237" customFormat="1" ht="14.25">
      <c r="A104" s="420"/>
      <c r="B104" s="420"/>
      <c r="C104" s="420"/>
      <c r="D104" s="420"/>
      <c r="E104" s="513" t="s">
        <v>2090</v>
      </c>
      <c r="F104" s="513"/>
      <c r="G104" s="431">
        <v>8.24</v>
      </c>
    </row>
    <row r="105" spans="1:7" s="237" customFormat="1">
      <c r="A105" s="420"/>
      <c r="B105" s="420"/>
      <c r="C105" s="420"/>
      <c r="D105" s="420"/>
      <c r="E105" s="483" t="s">
        <v>2095</v>
      </c>
      <c r="F105" s="483"/>
      <c r="G105" s="415">
        <v>8.24</v>
      </c>
    </row>
    <row r="106" spans="1:7" s="237" customFormat="1" ht="14.25">
      <c r="A106" s="420"/>
      <c r="B106" s="420"/>
      <c r="C106" s="514"/>
      <c r="D106" s="514"/>
      <c r="E106" s="420"/>
      <c r="F106" s="420"/>
      <c r="G106" s="420"/>
    </row>
    <row r="107" spans="1:7" s="237" customFormat="1" ht="33.75" customHeight="1">
      <c r="A107" s="515" t="s">
        <v>2177</v>
      </c>
      <c r="B107" s="515"/>
      <c r="C107" s="515"/>
      <c r="D107" s="515"/>
      <c r="E107" s="515"/>
      <c r="F107" s="515"/>
      <c r="G107" s="515"/>
    </row>
    <row r="108" spans="1:7" s="237" customFormat="1" ht="30">
      <c r="A108" s="512" t="s">
        <v>2070</v>
      </c>
      <c r="B108" s="512"/>
      <c r="C108" s="426" t="s">
        <v>2071</v>
      </c>
      <c r="D108" s="426" t="s">
        <v>2072</v>
      </c>
      <c r="E108" s="426" t="s">
        <v>2073</v>
      </c>
      <c r="F108" s="426" t="s">
        <v>2074</v>
      </c>
      <c r="G108" s="426" t="s">
        <v>2075</v>
      </c>
    </row>
    <row r="109" spans="1:7" s="237" customFormat="1" ht="28.5">
      <c r="A109" s="427" t="s">
        <v>2178</v>
      </c>
      <c r="B109" s="428" t="s">
        <v>2179</v>
      </c>
      <c r="C109" s="427" t="s">
        <v>1396</v>
      </c>
      <c r="D109" s="427" t="s">
        <v>1462</v>
      </c>
      <c r="E109" s="429">
        <v>528.76</v>
      </c>
      <c r="F109" s="430">
        <v>1</v>
      </c>
      <c r="G109" s="430">
        <v>528.76</v>
      </c>
    </row>
    <row r="110" spans="1:7" s="237" customFormat="1" ht="14.25">
      <c r="A110" s="420"/>
      <c r="B110" s="420"/>
      <c r="C110" s="420"/>
      <c r="D110" s="420"/>
      <c r="E110" s="513" t="s">
        <v>2084</v>
      </c>
      <c r="F110" s="513"/>
      <c r="G110" s="431">
        <v>528.76</v>
      </c>
    </row>
    <row r="111" spans="1:7" s="237" customFormat="1">
      <c r="A111" s="420"/>
      <c r="B111" s="420"/>
      <c r="C111" s="420"/>
      <c r="D111" s="420"/>
      <c r="E111" s="483" t="s">
        <v>2095</v>
      </c>
      <c r="F111" s="483"/>
      <c r="G111" s="415">
        <v>528.76</v>
      </c>
    </row>
    <row r="112" spans="1:7" s="237" customFormat="1" ht="14.25">
      <c r="A112" s="420"/>
      <c r="B112" s="420"/>
      <c r="C112" s="514"/>
      <c r="D112" s="514"/>
      <c r="E112" s="420"/>
      <c r="F112" s="420"/>
      <c r="G112" s="420"/>
    </row>
    <row r="113" spans="1:7" s="237" customFormat="1">
      <c r="A113" s="515" t="s">
        <v>2180</v>
      </c>
      <c r="B113" s="515"/>
      <c r="C113" s="515"/>
      <c r="D113" s="515"/>
      <c r="E113" s="515"/>
      <c r="F113" s="515"/>
      <c r="G113" s="515"/>
    </row>
    <row r="114" spans="1:7" s="237" customFormat="1" ht="30">
      <c r="A114" s="512" t="s">
        <v>2070</v>
      </c>
      <c r="B114" s="512"/>
      <c r="C114" s="426" t="s">
        <v>2071</v>
      </c>
      <c r="D114" s="426" t="s">
        <v>2072</v>
      </c>
      <c r="E114" s="426" t="s">
        <v>2073</v>
      </c>
      <c r="F114" s="426" t="s">
        <v>2074</v>
      </c>
      <c r="G114" s="426" t="s">
        <v>2075</v>
      </c>
    </row>
    <row r="115" spans="1:7" s="237" customFormat="1" ht="28.5">
      <c r="A115" s="427" t="s">
        <v>2078</v>
      </c>
      <c r="B115" s="428" t="s">
        <v>2079</v>
      </c>
      <c r="C115" s="427" t="s">
        <v>1400</v>
      </c>
      <c r="D115" s="427" t="s">
        <v>1416</v>
      </c>
      <c r="E115" s="429">
        <v>0.43</v>
      </c>
      <c r="F115" s="430">
        <v>8.26</v>
      </c>
      <c r="G115" s="430">
        <v>3.55</v>
      </c>
    </row>
    <row r="116" spans="1:7" s="237" customFormat="1" ht="42.75">
      <c r="A116" s="427" t="s">
        <v>2148</v>
      </c>
      <c r="B116" s="428" t="s">
        <v>2149</v>
      </c>
      <c r="C116" s="427" t="s">
        <v>1400</v>
      </c>
      <c r="D116" s="427" t="s">
        <v>1416</v>
      </c>
      <c r="E116" s="429">
        <v>0.3</v>
      </c>
      <c r="F116" s="430">
        <v>41.25</v>
      </c>
      <c r="G116" s="430">
        <v>12.38</v>
      </c>
    </row>
    <row r="117" spans="1:7" s="237" customFormat="1" ht="14.25">
      <c r="A117" s="420"/>
      <c r="B117" s="420"/>
      <c r="C117" s="420"/>
      <c r="D117" s="420"/>
      <c r="E117" s="513" t="s">
        <v>2084</v>
      </c>
      <c r="F117" s="513"/>
      <c r="G117" s="431">
        <v>15.93</v>
      </c>
    </row>
    <row r="118" spans="1:7" s="237" customFormat="1" ht="30">
      <c r="A118" s="512" t="s">
        <v>2085</v>
      </c>
      <c r="B118" s="512"/>
      <c r="C118" s="426" t="s">
        <v>2071</v>
      </c>
      <c r="D118" s="426" t="s">
        <v>2072</v>
      </c>
      <c r="E118" s="426" t="s">
        <v>2073</v>
      </c>
      <c r="F118" s="426" t="s">
        <v>2074</v>
      </c>
      <c r="G118" s="426" t="s">
        <v>2075</v>
      </c>
    </row>
    <row r="119" spans="1:7" s="237" customFormat="1" ht="28.5">
      <c r="A119" s="427" t="s">
        <v>2086</v>
      </c>
      <c r="B119" s="428" t="s">
        <v>2087</v>
      </c>
      <c r="C119" s="427" t="s">
        <v>1400</v>
      </c>
      <c r="D119" s="427" t="s">
        <v>2054</v>
      </c>
      <c r="E119" s="429">
        <v>0.92720000000000002</v>
      </c>
      <c r="F119" s="430">
        <v>35.35</v>
      </c>
      <c r="G119" s="430">
        <v>32.78</v>
      </c>
    </row>
    <row r="120" spans="1:7" s="237" customFormat="1" ht="28.5">
      <c r="A120" s="427" t="s">
        <v>2152</v>
      </c>
      <c r="B120" s="428" t="s">
        <v>2153</v>
      </c>
      <c r="C120" s="427" t="s">
        <v>1400</v>
      </c>
      <c r="D120" s="427" t="s">
        <v>2054</v>
      </c>
      <c r="E120" s="429">
        <v>0.25600000000000001</v>
      </c>
      <c r="F120" s="430">
        <v>35.380000000000003</v>
      </c>
      <c r="G120" s="430">
        <v>9.06</v>
      </c>
    </row>
    <row r="121" spans="1:7" s="237" customFormat="1" ht="14.25">
      <c r="A121" s="427" t="s">
        <v>2181</v>
      </c>
      <c r="B121" s="428" t="s">
        <v>2182</v>
      </c>
      <c r="C121" s="427" t="s">
        <v>1400</v>
      </c>
      <c r="D121" s="427" t="s">
        <v>2054</v>
      </c>
      <c r="E121" s="429">
        <v>0.51100000000000001</v>
      </c>
      <c r="F121" s="430">
        <v>35.81</v>
      </c>
      <c r="G121" s="430">
        <v>18.3</v>
      </c>
    </row>
    <row r="122" spans="1:7" s="237" customFormat="1" ht="14.25">
      <c r="A122" s="427" t="s">
        <v>2088</v>
      </c>
      <c r="B122" s="428" t="s">
        <v>2089</v>
      </c>
      <c r="C122" s="427" t="s">
        <v>1400</v>
      </c>
      <c r="D122" s="427" t="s">
        <v>2054</v>
      </c>
      <c r="E122" s="429">
        <v>1.9119999999999999</v>
      </c>
      <c r="F122" s="430">
        <v>27.47</v>
      </c>
      <c r="G122" s="430">
        <v>52.52</v>
      </c>
    </row>
    <row r="123" spans="1:7" s="237" customFormat="1" ht="14.25">
      <c r="A123" s="420"/>
      <c r="B123" s="420"/>
      <c r="C123" s="420"/>
      <c r="D123" s="420"/>
      <c r="E123" s="513" t="s">
        <v>2090</v>
      </c>
      <c r="F123" s="513"/>
      <c r="G123" s="431">
        <v>112.66</v>
      </c>
    </row>
    <row r="124" spans="1:7" s="237" customFormat="1">
      <c r="A124" s="420"/>
      <c r="B124" s="420"/>
      <c r="C124" s="420"/>
      <c r="D124" s="420"/>
      <c r="E124" s="483" t="s">
        <v>2095</v>
      </c>
      <c r="F124" s="483"/>
      <c r="G124" s="415">
        <v>128.59</v>
      </c>
    </row>
    <row r="125" spans="1:7" s="237" customFormat="1" ht="14.25">
      <c r="A125" s="420"/>
      <c r="B125" s="420"/>
      <c r="C125" s="514"/>
      <c r="D125" s="514"/>
      <c r="E125" s="420"/>
      <c r="F125" s="420"/>
      <c r="G125" s="420"/>
    </row>
    <row r="126" spans="1:7" s="237" customFormat="1">
      <c r="A126" s="515" t="s">
        <v>2183</v>
      </c>
      <c r="B126" s="515"/>
      <c r="C126" s="515"/>
      <c r="D126" s="515"/>
      <c r="E126" s="515"/>
      <c r="F126" s="515"/>
      <c r="G126" s="515"/>
    </row>
    <row r="127" spans="1:7" s="237" customFormat="1" ht="30">
      <c r="A127" s="512" t="s">
        <v>2070</v>
      </c>
      <c r="B127" s="512"/>
      <c r="C127" s="426" t="s">
        <v>2071</v>
      </c>
      <c r="D127" s="426" t="s">
        <v>2072</v>
      </c>
      <c r="E127" s="426" t="s">
        <v>2073</v>
      </c>
      <c r="F127" s="426" t="s">
        <v>2074</v>
      </c>
      <c r="G127" s="426" t="s">
        <v>2075</v>
      </c>
    </row>
    <row r="128" spans="1:7" s="237" customFormat="1" ht="28.5">
      <c r="A128" s="427" t="s">
        <v>2184</v>
      </c>
      <c r="B128" s="428" t="s">
        <v>2185</v>
      </c>
      <c r="C128" s="427" t="s">
        <v>1400</v>
      </c>
      <c r="D128" s="427" t="s">
        <v>1403</v>
      </c>
      <c r="E128" s="429">
        <v>0.25</v>
      </c>
      <c r="F128" s="430">
        <v>1.54</v>
      </c>
      <c r="G128" s="430">
        <v>0.39</v>
      </c>
    </row>
    <row r="129" spans="1:7" s="237" customFormat="1" ht="14.25">
      <c r="A129" s="420"/>
      <c r="B129" s="420"/>
      <c r="C129" s="420"/>
      <c r="D129" s="420"/>
      <c r="E129" s="513" t="s">
        <v>2084</v>
      </c>
      <c r="F129" s="513"/>
      <c r="G129" s="431">
        <v>0.39</v>
      </c>
    </row>
    <row r="130" spans="1:7" s="237" customFormat="1" ht="30">
      <c r="A130" s="512" t="s">
        <v>2085</v>
      </c>
      <c r="B130" s="512"/>
      <c r="C130" s="426" t="s">
        <v>2071</v>
      </c>
      <c r="D130" s="426" t="s">
        <v>2072</v>
      </c>
      <c r="E130" s="426" t="s">
        <v>2073</v>
      </c>
      <c r="F130" s="426" t="s">
        <v>2074</v>
      </c>
      <c r="G130" s="426" t="s">
        <v>2075</v>
      </c>
    </row>
    <row r="131" spans="1:7" s="237" customFormat="1" ht="14.25">
      <c r="A131" s="427" t="s">
        <v>2186</v>
      </c>
      <c r="B131" s="428" t="s">
        <v>2187</v>
      </c>
      <c r="C131" s="427" t="s">
        <v>1400</v>
      </c>
      <c r="D131" s="427" t="s">
        <v>2054</v>
      </c>
      <c r="E131" s="429">
        <v>0.14000000000000001</v>
      </c>
      <c r="F131" s="430">
        <v>35.78</v>
      </c>
      <c r="G131" s="430">
        <v>5.01</v>
      </c>
    </row>
    <row r="132" spans="1:7" s="237" customFormat="1" ht="14.25">
      <c r="A132" s="420"/>
      <c r="B132" s="420"/>
      <c r="C132" s="420"/>
      <c r="D132" s="420"/>
      <c r="E132" s="513" t="s">
        <v>2090</v>
      </c>
      <c r="F132" s="513"/>
      <c r="G132" s="431">
        <v>5.01</v>
      </c>
    </row>
    <row r="133" spans="1:7" s="237" customFormat="1">
      <c r="A133" s="420"/>
      <c r="B133" s="420"/>
      <c r="C133" s="420"/>
      <c r="D133" s="420"/>
      <c r="E133" s="483" t="s">
        <v>2095</v>
      </c>
      <c r="F133" s="483"/>
      <c r="G133" s="415">
        <v>5.4</v>
      </c>
    </row>
    <row r="134" spans="1:7" s="237" customFormat="1" ht="14.25">
      <c r="A134" s="420"/>
      <c r="B134" s="420"/>
      <c r="C134" s="514"/>
      <c r="D134" s="514"/>
      <c r="E134" s="420"/>
      <c r="F134" s="420"/>
      <c r="G134" s="420"/>
    </row>
    <row r="135" spans="1:7" s="237" customFormat="1">
      <c r="A135" s="515" t="s">
        <v>2188</v>
      </c>
      <c r="B135" s="515"/>
      <c r="C135" s="515"/>
      <c r="D135" s="515"/>
      <c r="E135" s="515"/>
      <c r="F135" s="515"/>
      <c r="G135" s="515"/>
    </row>
    <row r="136" spans="1:7" s="237" customFormat="1" ht="30">
      <c r="A136" s="512" t="s">
        <v>2085</v>
      </c>
      <c r="B136" s="512"/>
      <c r="C136" s="426" t="s">
        <v>2071</v>
      </c>
      <c r="D136" s="426" t="s">
        <v>2072</v>
      </c>
      <c r="E136" s="426" t="s">
        <v>2073</v>
      </c>
      <c r="F136" s="426" t="s">
        <v>2074</v>
      </c>
      <c r="G136" s="426" t="s">
        <v>2075</v>
      </c>
    </row>
    <row r="137" spans="1:7" s="237" customFormat="1" ht="14.25">
      <c r="A137" s="427" t="s">
        <v>2181</v>
      </c>
      <c r="B137" s="428" t="s">
        <v>2182</v>
      </c>
      <c r="C137" s="427" t="s">
        <v>1400</v>
      </c>
      <c r="D137" s="427" t="s">
        <v>2054</v>
      </c>
      <c r="E137" s="429">
        <v>0.8</v>
      </c>
      <c r="F137" s="430">
        <v>35.81</v>
      </c>
      <c r="G137" s="430">
        <v>28.65</v>
      </c>
    </row>
    <row r="138" spans="1:7" s="237" customFormat="1" ht="14.25">
      <c r="A138" s="427" t="s">
        <v>2088</v>
      </c>
      <c r="B138" s="428" t="s">
        <v>2089</v>
      </c>
      <c r="C138" s="427" t="s">
        <v>1400</v>
      </c>
      <c r="D138" s="427" t="s">
        <v>2054</v>
      </c>
      <c r="E138" s="429">
        <v>0.8</v>
      </c>
      <c r="F138" s="430">
        <v>27.47</v>
      </c>
      <c r="G138" s="430">
        <v>21.98</v>
      </c>
    </row>
    <row r="139" spans="1:7" s="237" customFormat="1" ht="14.25">
      <c r="A139" s="420"/>
      <c r="B139" s="420"/>
      <c r="C139" s="420"/>
      <c r="D139" s="420"/>
      <c r="E139" s="513" t="s">
        <v>2090</v>
      </c>
      <c r="F139" s="513"/>
      <c r="G139" s="431">
        <v>50.63</v>
      </c>
    </row>
    <row r="140" spans="1:7" s="237" customFormat="1" ht="30">
      <c r="A140" s="512" t="s">
        <v>2091</v>
      </c>
      <c r="B140" s="512"/>
      <c r="C140" s="426" t="s">
        <v>2071</v>
      </c>
      <c r="D140" s="426" t="s">
        <v>2072</v>
      </c>
      <c r="E140" s="426" t="s">
        <v>2073</v>
      </c>
      <c r="F140" s="426" t="s">
        <v>2074</v>
      </c>
      <c r="G140" s="426" t="s">
        <v>2075</v>
      </c>
    </row>
    <row r="141" spans="1:7" s="237" customFormat="1" ht="42.75">
      <c r="A141" s="427" t="s">
        <v>2189</v>
      </c>
      <c r="B141" s="428" t="s">
        <v>2190</v>
      </c>
      <c r="C141" s="427" t="s">
        <v>1400</v>
      </c>
      <c r="D141" s="427" t="s">
        <v>1422</v>
      </c>
      <c r="E141" s="429">
        <v>4.0000000000000001E-3</v>
      </c>
      <c r="F141" s="430">
        <v>433.3</v>
      </c>
      <c r="G141" s="430">
        <v>1.73</v>
      </c>
    </row>
    <row r="142" spans="1:7" s="237" customFormat="1" ht="28.5">
      <c r="A142" s="427" t="s">
        <v>2191</v>
      </c>
      <c r="B142" s="428" t="s">
        <v>2192</v>
      </c>
      <c r="C142" s="427" t="s">
        <v>1400</v>
      </c>
      <c r="D142" s="427" t="s">
        <v>1452</v>
      </c>
      <c r="E142" s="429">
        <v>0.4</v>
      </c>
      <c r="F142" s="430">
        <v>12.62</v>
      </c>
      <c r="G142" s="430">
        <v>5.05</v>
      </c>
    </row>
    <row r="143" spans="1:7" s="237" customFormat="1" ht="42.75">
      <c r="A143" s="427" t="s">
        <v>2193</v>
      </c>
      <c r="B143" s="428" t="s">
        <v>2194</v>
      </c>
      <c r="C143" s="427" t="s">
        <v>1400</v>
      </c>
      <c r="D143" s="427" t="s">
        <v>1398</v>
      </c>
      <c r="E143" s="429">
        <v>0.13</v>
      </c>
      <c r="F143" s="430">
        <v>96.92</v>
      </c>
      <c r="G143" s="430">
        <v>12.6</v>
      </c>
    </row>
    <row r="144" spans="1:7" s="237" customFormat="1" ht="28.5">
      <c r="A144" s="427" t="s">
        <v>1484</v>
      </c>
      <c r="B144" s="428" t="s">
        <v>1485</v>
      </c>
      <c r="C144" s="427" t="s">
        <v>1400</v>
      </c>
      <c r="D144" s="427" t="s">
        <v>1422</v>
      </c>
      <c r="E144" s="429">
        <v>4.0000000000000001E-3</v>
      </c>
      <c r="F144" s="430">
        <v>379.73</v>
      </c>
      <c r="G144" s="430">
        <v>1.52</v>
      </c>
    </row>
    <row r="145" spans="1:7" s="237" customFormat="1" ht="14.25">
      <c r="A145" s="420"/>
      <c r="B145" s="420"/>
      <c r="C145" s="420"/>
      <c r="D145" s="420"/>
      <c r="E145" s="513" t="s">
        <v>2094</v>
      </c>
      <c r="F145" s="513"/>
      <c r="G145" s="431">
        <v>20.9</v>
      </c>
    </row>
    <row r="146" spans="1:7" s="237" customFormat="1">
      <c r="A146" s="420"/>
      <c r="B146" s="420"/>
      <c r="C146" s="420"/>
      <c r="D146" s="420"/>
      <c r="E146" s="483" t="s">
        <v>2095</v>
      </c>
      <c r="F146" s="483"/>
      <c r="G146" s="415">
        <v>71.53</v>
      </c>
    </row>
    <row r="147" spans="1:7" s="237" customFormat="1" ht="14.25">
      <c r="A147" s="420"/>
      <c r="B147" s="420"/>
      <c r="C147" s="514"/>
      <c r="D147" s="514"/>
      <c r="E147" s="420"/>
      <c r="F147" s="420"/>
      <c r="G147" s="420"/>
    </row>
    <row r="148" spans="1:7" s="237" customFormat="1">
      <c r="A148" s="515" t="s">
        <v>2195</v>
      </c>
      <c r="B148" s="515"/>
      <c r="C148" s="515"/>
      <c r="D148" s="515"/>
      <c r="E148" s="515"/>
      <c r="F148" s="515"/>
      <c r="G148" s="515"/>
    </row>
    <row r="149" spans="1:7" s="237" customFormat="1" ht="30">
      <c r="A149" s="512" t="s">
        <v>2070</v>
      </c>
      <c r="B149" s="512"/>
      <c r="C149" s="426" t="s">
        <v>2071</v>
      </c>
      <c r="D149" s="426" t="s">
        <v>2072</v>
      </c>
      <c r="E149" s="426" t="s">
        <v>2073</v>
      </c>
      <c r="F149" s="426" t="s">
        <v>2074</v>
      </c>
      <c r="G149" s="426" t="s">
        <v>2075</v>
      </c>
    </row>
    <row r="150" spans="1:7" s="237" customFormat="1" ht="28.5">
      <c r="A150" s="427" t="s">
        <v>2196</v>
      </c>
      <c r="B150" s="428" t="s">
        <v>2197</v>
      </c>
      <c r="C150" s="427" t="s">
        <v>1400</v>
      </c>
      <c r="D150" s="427" t="s">
        <v>1452</v>
      </c>
      <c r="E150" s="429">
        <v>2.835</v>
      </c>
      <c r="F150" s="430">
        <v>54.95</v>
      </c>
      <c r="G150" s="430">
        <v>155.78</v>
      </c>
    </row>
    <row r="151" spans="1:7" s="237" customFormat="1" ht="28.5">
      <c r="A151" s="427" t="s">
        <v>2198</v>
      </c>
      <c r="B151" s="428" t="s">
        <v>2199</v>
      </c>
      <c r="C151" s="427" t="s">
        <v>1400</v>
      </c>
      <c r="D151" s="427" t="s">
        <v>1452</v>
      </c>
      <c r="E151" s="429">
        <v>9.7999999999999997E-3</v>
      </c>
      <c r="F151" s="430">
        <v>63.52</v>
      </c>
      <c r="G151" s="430">
        <v>0.62</v>
      </c>
    </row>
    <row r="152" spans="1:7" s="237" customFormat="1" ht="14.25">
      <c r="A152" s="420"/>
      <c r="B152" s="420"/>
      <c r="C152" s="420"/>
      <c r="D152" s="420"/>
      <c r="E152" s="513" t="s">
        <v>2084</v>
      </c>
      <c r="F152" s="513"/>
      <c r="G152" s="431">
        <v>156.4</v>
      </c>
    </row>
    <row r="153" spans="1:7" s="237" customFormat="1" ht="30">
      <c r="A153" s="512" t="s">
        <v>2085</v>
      </c>
      <c r="B153" s="512"/>
      <c r="C153" s="426" t="s">
        <v>2071</v>
      </c>
      <c r="D153" s="426" t="s">
        <v>2072</v>
      </c>
      <c r="E153" s="426" t="s">
        <v>2073</v>
      </c>
      <c r="F153" s="426" t="s">
        <v>2074</v>
      </c>
      <c r="G153" s="426" t="s">
        <v>2075</v>
      </c>
    </row>
    <row r="154" spans="1:7" s="237" customFormat="1" ht="14.25">
      <c r="A154" s="427" t="s">
        <v>2200</v>
      </c>
      <c r="B154" s="428" t="s">
        <v>2201</v>
      </c>
      <c r="C154" s="427" t="s">
        <v>1400</v>
      </c>
      <c r="D154" s="427" t="s">
        <v>2054</v>
      </c>
      <c r="E154" s="429">
        <v>1</v>
      </c>
      <c r="F154" s="430">
        <v>35.53</v>
      </c>
      <c r="G154" s="430">
        <v>35.53</v>
      </c>
    </row>
    <row r="155" spans="1:7" s="237" customFormat="1" ht="14.25">
      <c r="A155" s="427" t="s">
        <v>2088</v>
      </c>
      <c r="B155" s="428" t="s">
        <v>2089</v>
      </c>
      <c r="C155" s="427" t="s">
        <v>1400</v>
      </c>
      <c r="D155" s="427" t="s">
        <v>2054</v>
      </c>
      <c r="E155" s="429">
        <v>1</v>
      </c>
      <c r="F155" s="430">
        <v>27.47</v>
      </c>
      <c r="G155" s="430">
        <v>27.47</v>
      </c>
    </row>
    <row r="156" spans="1:7" s="237" customFormat="1" ht="14.25">
      <c r="A156" s="420"/>
      <c r="B156" s="420"/>
      <c r="C156" s="420"/>
      <c r="D156" s="420"/>
      <c r="E156" s="513" t="s">
        <v>2090</v>
      </c>
      <c r="F156" s="513"/>
      <c r="G156" s="431">
        <v>63</v>
      </c>
    </row>
    <row r="157" spans="1:7" s="237" customFormat="1" ht="30">
      <c r="A157" s="512" t="s">
        <v>2091</v>
      </c>
      <c r="B157" s="512"/>
      <c r="C157" s="426" t="s">
        <v>2071</v>
      </c>
      <c r="D157" s="426" t="s">
        <v>2072</v>
      </c>
      <c r="E157" s="426" t="s">
        <v>2073</v>
      </c>
      <c r="F157" s="426" t="s">
        <v>2074</v>
      </c>
      <c r="G157" s="426" t="s">
        <v>2075</v>
      </c>
    </row>
    <row r="158" spans="1:7" s="237" customFormat="1" ht="42.75">
      <c r="A158" s="427" t="s">
        <v>2202</v>
      </c>
      <c r="B158" s="428" t="s">
        <v>2203</v>
      </c>
      <c r="C158" s="427" t="s">
        <v>1400</v>
      </c>
      <c r="D158" s="427" t="s">
        <v>1398</v>
      </c>
      <c r="E158" s="429">
        <v>1</v>
      </c>
      <c r="F158" s="430">
        <v>13.43</v>
      </c>
      <c r="G158" s="430">
        <v>13.43</v>
      </c>
    </row>
    <row r="159" spans="1:7" s="237" customFormat="1" ht="14.25">
      <c r="A159" s="420"/>
      <c r="B159" s="420"/>
      <c r="C159" s="420"/>
      <c r="D159" s="420"/>
      <c r="E159" s="513" t="s">
        <v>2094</v>
      </c>
      <c r="F159" s="513"/>
      <c r="G159" s="431">
        <v>13.43</v>
      </c>
    </row>
    <row r="160" spans="1:7" s="237" customFormat="1">
      <c r="A160" s="420"/>
      <c r="B160" s="420"/>
      <c r="C160" s="420"/>
      <c r="D160" s="420"/>
      <c r="E160" s="483" t="s">
        <v>2095</v>
      </c>
      <c r="F160" s="483"/>
      <c r="G160" s="415">
        <v>232.83</v>
      </c>
    </row>
    <row r="161" spans="1:7" s="237" customFormat="1" ht="14.25">
      <c r="A161" s="420"/>
      <c r="B161" s="420"/>
      <c r="C161" s="514"/>
      <c r="D161" s="514"/>
      <c r="E161" s="420"/>
      <c r="F161" s="420"/>
      <c r="G161" s="420"/>
    </row>
    <row r="162" spans="1:7" s="237" customFormat="1">
      <c r="A162" s="515" t="s">
        <v>2204</v>
      </c>
      <c r="B162" s="515"/>
      <c r="C162" s="515"/>
      <c r="D162" s="515"/>
      <c r="E162" s="515"/>
      <c r="F162" s="515"/>
      <c r="G162" s="515"/>
    </row>
    <row r="163" spans="1:7" s="237" customFormat="1" ht="30">
      <c r="A163" s="512" t="s">
        <v>2070</v>
      </c>
      <c r="B163" s="512"/>
      <c r="C163" s="426" t="s">
        <v>2071</v>
      </c>
      <c r="D163" s="426" t="s">
        <v>2072</v>
      </c>
      <c r="E163" s="426" t="s">
        <v>2073</v>
      </c>
      <c r="F163" s="426" t="s">
        <v>2074</v>
      </c>
      <c r="G163" s="426" t="s">
        <v>2075</v>
      </c>
    </row>
    <row r="164" spans="1:7" s="237" customFormat="1" ht="14.25">
      <c r="A164" s="427" t="s">
        <v>2205</v>
      </c>
      <c r="B164" s="428" t="s">
        <v>2206</v>
      </c>
      <c r="C164" s="427" t="s">
        <v>1400</v>
      </c>
      <c r="D164" s="427" t="s">
        <v>1452</v>
      </c>
      <c r="E164" s="429">
        <v>0.63919999999999999</v>
      </c>
      <c r="F164" s="430">
        <v>0.77</v>
      </c>
      <c r="G164" s="430">
        <v>0.49</v>
      </c>
    </row>
    <row r="165" spans="1:7" s="237" customFormat="1" ht="28.5">
      <c r="A165" s="427" t="s">
        <v>2207</v>
      </c>
      <c r="B165" s="428" t="s">
        <v>2208</v>
      </c>
      <c r="C165" s="427" t="s">
        <v>1400</v>
      </c>
      <c r="D165" s="427" t="s">
        <v>1398</v>
      </c>
      <c r="E165" s="429">
        <v>0.188</v>
      </c>
      <c r="F165" s="430">
        <v>96.1</v>
      </c>
      <c r="G165" s="430">
        <v>18.07</v>
      </c>
    </row>
    <row r="166" spans="1:7" s="237" customFormat="1" ht="14.25">
      <c r="A166" s="427" t="s">
        <v>2209</v>
      </c>
      <c r="B166" s="428" t="s">
        <v>2210</v>
      </c>
      <c r="C166" s="427" t="s">
        <v>1400</v>
      </c>
      <c r="D166" s="427" t="s">
        <v>1452</v>
      </c>
      <c r="E166" s="429">
        <v>8.8999999999999996E-2</v>
      </c>
      <c r="F166" s="430">
        <v>4.5199999999999996</v>
      </c>
      <c r="G166" s="430">
        <v>0.4</v>
      </c>
    </row>
    <row r="167" spans="1:7" s="237" customFormat="1" ht="14.25">
      <c r="A167" s="420"/>
      <c r="B167" s="420"/>
      <c r="C167" s="420"/>
      <c r="D167" s="420"/>
      <c r="E167" s="513" t="s">
        <v>2084</v>
      </c>
      <c r="F167" s="513"/>
      <c r="G167" s="431">
        <v>18.96</v>
      </c>
    </row>
    <row r="168" spans="1:7" s="237" customFormat="1" ht="30">
      <c r="A168" s="512" t="s">
        <v>2085</v>
      </c>
      <c r="B168" s="512"/>
      <c r="C168" s="426" t="s">
        <v>2071</v>
      </c>
      <c r="D168" s="426" t="s">
        <v>2072</v>
      </c>
      <c r="E168" s="426" t="s">
        <v>2073</v>
      </c>
      <c r="F168" s="426" t="s">
        <v>2074</v>
      </c>
      <c r="G168" s="426" t="s">
        <v>2075</v>
      </c>
    </row>
    <row r="169" spans="1:7" s="237" customFormat="1" ht="28.5">
      <c r="A169" s="427" t="s">
        <v>2211</v>
      </c>
      <c r="B169" s="428" t="s">
        <v>2212</v>
      </c>
      <c r="C169" s="427" t="s">
        <v>1400</v>
      </c>
      <c r="D169" s="427" t="s">
        <v>2054</v>
      </c>
      <c r="E169" s="429">
        <v>8.7099999999999997E-2</v>
      </c>
      <c r="F169" s="430">
        <v>37.83</v>
      </c>
      <c r="G169" s="430">
        <v>3.29</v>
      </c>
    </row>
    <row r="170" spans="1:7" s="237" customFormat="1" ht="14.25">
      <c r="A170" s="427" t="s">
        <v>2088</v>
      </c>
      <c r="B170" s="428" t="s">
        <v>2089</v>
      </c>
      <c r="C170" s="427" t="s">
        <v>1400</v>
      </c>
      <c r="D170" s="427" t="s">
        <v>2054</v>
      </c>
      <c r="E170" s="429">
        <v>3.2599999999999997E-2</v>
      </c>
      <c r="F170" s="430">
        <v>27.47</v>
      </c>
      <c r="G170" s="430">
        <v>0.9</v>
      </c>
    </row>
    <row r="171" spans="1:7" s="237" customFormat="1" ht="14.25">
      <c r="A171" s="420"/>
      <c r="B171" s="420"/>
      <c r="C171" s="420"/>
      <c r="D171" s="420"/>
      <c r="E171" s="513" t="s">
        <v>2090</v>
      </c>
      <c r="F171" s="513"/>
      <c r="G171" s="431">
        <v>4.1900000000000004</v>
      </c>
    </row>
    <row r="172" spans="1:7" s="237" customFormat="1">
      <c r="A172" s="420"/>
      <c r="B172" s="420"/>
      <c r="C172" s="420"/>
      <c r="D172" s="420"/>
      <c r="E172" s="483" t="s">
        <v>2095</v>
      </c>
      <c r="F172" s="483"/>
      <c r="G172" s="415">
        <v>23.15</v>
      </c>
    </row>
    <row r="173" spans="1:7" s="237" customFormat="1" ht="14.25">
      <c r="A173" s="420"/>
      <c r="B173" s="420"/>
      <c r="C173" s="514"/>
      <c r="D173" s="514"/>
      <c r="E173" s="420"/>
      <c r="F173" s="420"/>
      <c r="G173" s="420"/>
    </row>
    <row r="174" spans="1:7" s="237" customFormat="1">
      <c r="A174" s="515" t="s">
        <v>2213</v>
      </c>
      <c r="B174" s="515"/>
      <c r="C174" s="515"/>
      <c r="D174" s="515"/>
      <c r="E174" s="515"/>
      <c r="F174" s="515"/>
      <c r="G174" s="515"/>
    </row>
    <row r="175" spans="1:7" s="237" customFormat="1" ht="30">
      <c r="A175" s="512" t="s">
        <v>2070</v>
      </c>
      <c r="B175" s="512"/>
      <c r="C175" s="426" t="s">
        <v>2071</v>
      </c>
      <c r="D175" s="426" t="s">
        <v>2072</v>
      </c>
      <c r="E175" s="426" t="s">
        <v>2073</v>
      </c>
      <c r="F175" s="426" t="s">
        <v>2074</v>
      </c>
      <c r="G175" s="426" t="s">
        <v>2075</v>
      </c>
    </row>
    <row r="176" spans="1:7" s="237" customFormat="1" ht="28.5">
      <c r="A176" s="427" t="s">
        <v>2214</v>
      </c>
      <c r="B176" s="428" t="s">
        <v>2215</v>
      </c>
      <c r="C176" s="427" t="s">
        <v>1400</v>
      </c>
      <c r="D176" s="427" t="s">
        <v>1422</v>
      </c>
      <c r="E176" s="429">
        <v>3.0000000000000001E-3</v>
      </c>
      <c r="F176" s="430">
        <v>90</v>
      </c>
      <c r="G176" s="430">
        <v>0.27</v>
      </c>
    </row>
    <row r="177" spans="1:7" s="237" customFormat="1" ht="14.25">
      <c r="A177" s="427" t="s">
        <v>2142</v>
      </c>
      <c r="B177" s="428" t="s">
        <v>2143</v>
      </c>
      <c r="C177" s="427" t="s">
        <v>1400</v>
      </c>
      <c r="D177" s="427" t="s">
        <v>1452</v>
      </c>
      <c r="E177" s="429">
        <v>1.5</v>
      </c>
      <c r="F177" s="430">
        <v>0.64</v>
      </c>
      <c r="G177" s="430">
        <v>0.96</v>
      </c>
    </row>
    <row r="178" spans="1:7" s="237" customFormat="1" ht="28.5">
      <c r="A178" s="427" t="s">
        <v>2216</v>
      </c>
      <c r="B178" s="428" t="s">
        <v>2217</v>
      </c>
      <c r="C178" s="427" t="s">
        <v>1400</v>
      </c>
      <c r="D178" s="427" t="s">
        <v>1416</v>
      </c>
      <c r="E178" s="429">
        <v>1</v>
      </c>
      <c r="F178" s="430">
        <v>1.29</v>
      </c>
      <c r="G178" s="430">
        <v>1.29</v>
      </c>
    </row>
    <row r="179" spans="1:7" s="237" customFormat="1" ht="14.25">
      <c r="A179" s="420"/>
      <c r="B179" s="420"/>
      <c r="C179" s="420"/>
      <c r="D179" s="420"/>
      <c r="E179" s="513" t="s">
        <v>2084</v>
      </c>
      <c r="F179" s="513"/>
      <c r="G179" s="431">
        <v>2.52</v>
      </c>
    </row>
    <row r="180" spans="1:7" s="237" customFormat="1" ht="30">
      <c r="A180" s="512" t="s">
        <v>2085</v>
      </c>
      <c r="B180" s="512"/>
      <c r="C180" s="426" t="s">
        <v>2071</v>
      </c>
      <c r="D180" s="426" t="s">
        <v>2072</v>
      </c>
      <c r="E180" s="426" t="s">
        <v>2073</v>
      </c>
      <c r="F180" s="426" t="s">
        <v>2074</v>
      </c>
      <c r="G180" s="426" t="s">
        <v>2075</v>
      </c>
    </row>
    <row r="181" spans="1:7" s="237" customFormat="1" ht="14.25">
      <c r="A181" s="427" t="s">
        <v>2181</v>
      </c>
      <c r="B181" s="428" t="s">
        <v>2182</v>
      </c>
      <c r="C181" s="427" t="s">
        <v>1400</v>
      </c>
      <c r="D181" s="427" t="s">
        <v>2054</v>
      </c>
      <c r="E181" s="429">
        <v>0.2</v>
      </c>
      <c r="F181" s="430">
        <v>35.81</v>
      </c>
      <c r="G181" s="430">
        <v>7.16</v>
      </c>
    </row>
    <row r="182" spans="1:7" s="237" customFormat="1" ht="14.25">
      <c r="A182" s="420"/>
      <c r="B182" s="420"/>
      <c r="C182" s="420"/>
      <c r="D182" s="420"/>
      <c r="E182" s="513" t="s">
        <v>2090</v>
      </c>
      <c r="F182" s="513"/>
      <c r="G182" s="431">
        <v>7.16</v>
      </c>
    </row>
    <row r="183" spans="1:7" s="237" customFormat="1">
      <c r="A183" s="420"/>
      <c r="B183" s="420"/>
      <c r="C183" s="420"/>
      <c r="D183" s="420"/>
      <c r="E183" s="483" t="s">
        <v>2095</v>
      </c>
      <c r="F183" s="483"/>
      <c r="G183" s="415">
        <v>9.68</v>
      </c>
    </row>
    <row r="184" spans="1:7" s="237" customFormat="1" ht="14.25">
      <c r="A184" s="420"/>
      <c r="B184" s="420"/>
      <c r="C184" s="514"/>
      <c r="D184" s="514"/>
      <c r="E184" s="420"/>
      <c r="F184" s="420"/>
      <c r="G184" s="420"/>
    </row>
    <row r="185" spans="1:7" s="237" customFormat="1">
      <c r="A185" s="515" t="s">
        <v>2218</v>
      </c>
      <c r="B185" s="515"/>
      <c r="C185" s="515"/>
      <c r="D185" s="515"/>
      <c r="E185" s="515"/>
      <c r="F185" s="515"/>
      <c r="G185" s="515"/>
    </row>
    <row r="186" spans="1:7" s="237" customFormat="1" ht="30">
      <c r="A186" s="512" t="s">
        <v>2219</v>
      </c>
      <c r="B186" s="512"/>
      <c r="C186" s="426" t="s">
        <v>2071</v>
      </c>
      <c r="D186" s="426" t="s">
        <v>2072</v>
      </c>
      <c r="E186" s="426" t="s">
        <v>2073</v>
      </c>
      <c r="F186" s="426" t="s">
        <v>2074</v>
      </c>
      <c r="G186" s="426" t="s">
        <v>2075</v>
      </c>
    </row>
    <row r="187" spans="1:7" s="237" customFormat="1" ht="42.75">
      <c r="A187" s="427" t="s">
        <v>2220</v>
      </c>
      <c r="B187" s="428" t="s">
        <v>2221</v>
      </c>
      <c r="C187" s="427" t="s">
        <v>1400</v>
      </c>
      <c r="D187" s="427" t="s">
        <v>932</v>
      </c>
      <c r="E187" s="429">
        <v>0.21640000000000001</v>
      </c>
      <c r="F187" s="430">
        <v>0.5</v>
      </c>
      <c r="G187" s="430">
        <v>0.11</v>
      </c>
    </row>
    <row r="188" spans="1:7" s="237" customFormat="1" ht="42.75">
      <c r="A188" s="427" t="s">
        <v>2222</v>
      </c>
      <c r="B188" s="428" t="s">
        <v>2223</v>
      </c>
      <c r="C188" s="427" t="s">
        <v>1400</v>
      </c>
      <c r="D188" s="427" t="s">
        <v>931</v>
      </c>
      <c r="E188" s="429">
        <v>9.0300000000000005E-2</v>
      </c>
      <c r="F188" s="430">
        <v>3.64</v>
      </c>
      <c r="G188" s="430">
        <v>0.33</v>
      </c>
    </row>
    <row r="189" spans="1:7" s="237" customFormat="1" ht="14.25">
      <c r="A189" s="420"/>
      <c r="B189" s="420"/>
      <c r="C189" s="420"/>
      <c r="D189" s="420"/>
      <c r="E189" s="513" t="s">
        <v>2224</v>
      </c>
      <c r="F189" s="513"/>
      <c r="G189" s="431">
        <v>0.44</v>
      </c>
    </row>
    <row r="190" spans="1:7" s="237" customFormat="1" ht="30">
      <c r="A190" s="512" t="s">
        <v>2085</v>
      </c>
      <c r="B190" s="512"/>
      <c r="C190" s="426" t="s">
        <v>2071</v>
      </c>
      <c r="D190" s="426" t="s">
        <v>2072</v>
      </c>
      <c r="E190" s="426" t="s">
        <v>2073</v>
      </c>
      <c r="F190" s="426" t="s">
        <v>2074</v>
      </c>
      <c r="G190" s="426" t="s">
        <v>2075</v>
      </c>
    </row>
    <row r="191" spans="1:7" s="237" customFormat="1" ht="14.25">
      <c r="A191" s="427" t="s">
        <v>2088</v>
      </c>
      <c r="B191" s="428" t="s">
        <v>2089</v>
      </c>
      <c r="C191" s="427" t="s">
        <v>1400</v>
      </c>
      <c r="D191" s="427" t="s">
        <v>2054</v>
      </c>
      <c r="E191" s="429">
        <v>0.49719999999999998</v>
      </c>
      <c r="F191" s="430">
        <v>27.47</v>
      </c>
      <c r="G191" s="430">
        <v>13.66</v>
      </c>
    </row>
    <row r="192" spans="1:7" s="237" customFormat="1" ht="14.25">
      <c r="A192" s="420"/>
      <c r="B192" s="420"/>
      <c r="C192" s="420"/>
      <c r="D192" s="420"/>
      <c r="E192" s="513" t="s">
        <v>2090</v>
      </c>
      <c r="F192" s="513"/>
      <c r="G192" s="431">
        <v>13.66</v>
      </c>
    </row>
    <row r="193" spans="1:7" s="237" customFormat="1">
      <c r="A193" s="420"/>
      <c r="B193" s="420"/>
      <c r="C193" s="420"/>
      <c r="D193" s="420"/>
      <c r="E193" s="483" t="s">
        <v>2095</v>
      </c>
      <c r="F193" s="483"/>
      <c r="G193" s="415">
        <v>14.1</v>
      </c>
    </row>
    <row r="194" spans="1:7" s="237" customFormat="1" ht="14.25">
      <c r="A194" s="420"/>
      <c r="B194" s="420"/>
      <c r="C194" s="514"/>
      <c r="D194" s="514"/>
      <c r="E194" s="420"/>
      <c r="F194" s="420"/>
      <c r="G194" s="420"/>
    </row>
    <row r="195" spans="1:7" s="237" customFormat="1">
      <c r="A195" s="515" t="s">
        <v>2225</v>
      </c>
      <c r="B195" s="515"/>
      <c r="C195" s="515"/>
      <c r="D195" s="515"/>
      <c r="E195" s="515"/>
      <c r="F195" s="515"/>
      <c r="G195" s="515"/>
    </row>
    <row r="196" spans="1:7" s="237" customFormat="1" ht="30">
      <c r="A196" s="512" t="s">
        <v>2219</v>
      </c>
      <c r="B196" s="512"/>
      <c r="C196" s="426" t="s">
        <v>2071</v>
      </c>
      <c r="D196" s="426" t="s">
        <v>2072</v>
      </c>
      <c r="E196" s="426" t="s">
        <v>2073</v>
      </c>
      <c r="F196" s="426" t="s">
        <v>2074</v>
      </c>
      <c r="G196" s="426" t="s">
        <v>2075</v>
      </c>
    </row>
    <row r="197" spans="1:7" s="237" customFormat="1" ht="42.75">
      <c r="A197" s="427" t="s">
        <v>2226</v>
      </c>
      <c r="B197" s="428" t="s">
        <v>2227</v>
      </c>
      <c r="C197" s="427" t="s">
        <v>1400</v>
      </c>
      <c r="D197" s="427" t="s">
        <v>932</v>
      </c>
      <c r="E197" s="429">
        <v>0.03</v>
      </c>
      <c r="F197" s="430">
        <v>0.57999999999999996</v>
      </c>
      <c r="G197" s="430">
        <v>0.02</v>
      </c>
    </row>
    <row r="198" spans="1:7" s="237" customFormat="1" ht="42.75">
      <c r="A198" s="427" t="s">
        <v>2228</v>
      </c>
      <c r="B198" s="428" t="s">
        <v>2229</v>
      </c>
      <c r="C198" s="427" t="s">
        <v>1400</v>
      </c>
      <c r="D198" s="427" t="s">
        <v>931</v>
      </c>
      <c r="E198" s="429">
        <v>3.2000000000000001E-2</v>
      </c>
      <c r="F198" s="430">
        <v>9.39</v>
      </c>
      <c r="G198" s="430">
        <v>0.3</v>
      </c>
    </row>
    <row r="199" spans="1:7" s="237" customFormat="1" ht="14.25">
      <c r="A199" s="420"/>
      <c r="B199" s="420"/>
      <c r="C199" s="420"/>
      <c r="D199" s="420"/>
      <c r="E199" s="513" t="s">
        <v>2224</v>
      </c>
      <c r="F199" s="513"/>
      <c r="G199" s="431">
        <v>0.32</v>
      </c>
    </row>
    <row r="200" spans="1:7" s="237" customFormat="1" ht="30">
      <c r="A200" s="512" t="s">
        <v>2070</v>
      </c>
      <c r="B200" s="512"/>
      <c r="C200" s="426" t="s">
        <v>2071</v>
      </c>
      <c r="D200" s="426" t="s">
        <v>2072</v>
      </c>
      <c r="E200" s="426" t="s">
        <v>2073</v>
      </c>
      <c r="F200" s="426" t="s">
        <v>2074</v>
      </c>
      <c r="G200" s="426" t="s">
        <v>2075</v>
      </c>
    </row>
    <row r="201" spans="1:7" s="237" customFormat="1" ht="14.25">
      <c r="A201" s="427" t="s">
        <v>2230</v>
      </c>
      <c r="B201" s="428" t="s">
        <v>2231</v>
      </c>
      <c r="C201" s="427" t="s">
        <v>1400</v>
      </c>
      <c r="D201" s="427" t="s">
        <v>1422</v>
      </c>
      <c r="E201" s="429">
        <v>1.1299999999999999</v>
      </c>
      <c r="F201" s="430">
        <v>188.57</v>
      </c>
      <c r="G201" s="430">
        <v>213.08</v>
      </c>
    </row>
    <row r="202" spans="1:7" s="237" customFormat="1" ht="14.25">
      <c r="A202" s="420"/>
      <c r="B202" s="420"/>
      <c r="C202" s="420"/>
      <c r="D202" s="420"/>
      <c r="E202" s="513" t="s">
        <v>2084</v>
      </c>
      <c r="F202" s="513"/>
      <c r="G202" s="431">
        <v>213.08</v>
      </c>
    </row>
    <row r="203" spans="1:7" s="237" customFormat="1" ht="30">
      <c r="A203" s="512" t="s">
        <v>2085</v>
      </c>
      <c r="B203" s="512"/>
      <c r="C203" s="426" t="s">
        <v>2071</v>
      </c>
      <c r="D203" s="426" t="s">
        <v>2072</v>
      </c>
      <c r="E203" s="426" t="s">
        <v>2073</v>
      </c>
      <c r="F203" s="426" t="s">
        <v>2074</v>
      </c>
      <c r="G203" s="426" t="s">
        <v>2075</v>
      </c>
    </row>
    <row r="204" spans="1:7" s="237" customFormat="1" ht="14.25">
      <c r="A204" s="427" t="s">
        <v>2181</v>
      </c>
      <c r="B204" s="428" t="s">
        <v>2182</v>
      </c>
      <c r="C204" s="427" t="s">
        <v>1400</v>
      </c>
      <c r="D204" s="427" t="s">
        <v>2054</v>
      </c>
      <c r="E204" s="429">
        <v>1.03</v>
      </c>
      <c r="F204" s="430">
        <v>35.81</v>
      </c>
      <c r="G204" s="430">
        <v>36.880000000000003</v>
      </c>
    </row>
    <row r="205" spans="1:7" s="237" customFormat="1" ht="14.25">
      <c r="A205" s="427" t="s">
        <v>2088</v>
      </c>
      <c r="B205" s="428" t="s">
        <v>2089</v>
      </c>
      <c r="C205" s="427" t="s">
        <v>1400</v>
      </c>
      <c r="D205" s="427" t="s">
        <v>2054</v>
      </c>
      <c r="E205" s="429">
        <v>0.34300000000000003</v>
      </c>
      <c r="F205" s="430">
        <v>27.47</v>
      </c>
      <c r="G205" s="430">
        <v>9.42</v>
      </c>
    </row>
    <row r="206" spans="1:7" s="237" customFormat="1" ht="14.25">
      <c r="A206" s="420"/>
      <c r="B206" s="420"/>
      <c r="C206" s="420"/>
      <c r="D206" s="420"/>
      <c r="E206" s="513" t="s">
        <v>2090</v>
      </c>
      <c r="F206" s="513"/>
      <c r="G206" s="431">
        <v>46.3</v>
      </c>
    </row>
    <row r="207" spans="1:7" s="237" customFormat="1">
      <c r="A207" s="420"/>
      <c r="B207" s="420"/>
      <c r="C207" s="420"/>
      <c r="D207" s="420"/>
      <c r="E207" s="483" t="s">
        <v>2095</v>
      </c>
      <c r="F207" s="483"/>
      <c r="G207" s="415">
        <v>259.7</v>
      </c>
    </row>
    <row r="208" spans="1:7" s="237" customFormat="1" ht="14.25">
      <c r="A208" s="420"/>
      <c r="B208" s="420"/>
      <c r="C208" s="514"/>
      <c r="D208" s="514"/>
      <c r="E208" s="420"/>
      <c r="F208" s="420"/>
      <c r="G208" s="420"/>
    </row>
    <row r="209" spans="1:7" s="237" customFormat="1" ht="42.75" customHeight="1">
      <c r="A209" s="515" t="s">
        <v>2232</v>
      </c>
      <c r="B209" s="515"/>
      <c r="C209" s="515"/>
      <c r="D209" s="515"/>
      <c r="E209" s="515"/>
      <c r="F209" s="515"/>
      <c r="G209" s="515"/>
    </row>
    <row r="210" spans="1:7" s="237" customFormat="1" ht="30">
      <c r="A210" s="512" t="s">
        <v>2070</v>
      </c>
      <c r="B210" s="512"/>
      <c r="C210" s="426" t="s">
        <v>2071</v>
      </c>
      <c r="D210" s="426" t="s">
        <v>2072</v>
      </c>
      <c r="E210" s="426" t="s">
        <v>2073</v>
      </c>
      <c r="F210" s="426" t="s">
        <v>2074</v>
      </c>
      <c r="G210" s="426" t="s">
        <v>2075</v>
      </c>
    </row>
    <row r="211" spans="1:7" s="237" customFormat="1" ht="42.75">
      <c r="A211" s="427" t="s">
        <v>2233</v>
      </c>
      <c r="B211" s="428" t="s">
        <v>2234</v>
      </c>
      <c r="C211" s="427" t="s">
        <v>1400</v>
      </c>
      <c r="D211" s="427" t="s">
        <v>1403</v>
      </c>
      <c r="E211" s="429">
        <v>3</v>
      </c>
      <c r="F211" s="430">
        <v>18.690000000000001</v>
      </c>
      <c r="G211" s="430">
        <v>56.07</v>
      </c>
    </row>
    <row r="212" spans="1:7" s="237" customFormat="1" ht="71.25">
      <c r="A212" s="427" t="s">
        <v>2235</v>
      </c>
      <c r="B212" s="428" t="s">
        <v>2236</v>
      </c>
      <c r="C212" s="427" t="s">
        <v>1400</v>
      </c>
      <c r="D212" s="427" t="s">
        <v>2237</v>
      </c>
      <c r="E212" s="429">
        <v>1</v>
      </c>
      <c r="F212" s="430">
        <v>80</v>
      </c>
      <c r="G212" s="430">
        <v>80</v>
      </c>
    </row>
    <row r="213" spans="1:7" s="237" customFormat="1" ht="85.5">
      <c r="A213" s="427" t="s">
        <v>2238</v>
      </c>
      <c r="B213" s="428" t="s">
        <v>2239</v>
      </c>
      <c r="C213" s="427" t="s">
        <v>1400</v>
      </c>
      <c r="D213" s="427" t="s">
        <v>1403</v>
      </c>
      <c r="E213" s="429">
        <v>1</v>
      </c>
      <c r="F213" s="430">
        <v>739.62</v>
      </c>
      <c r="G213" s="430">
        <v>739.62</v>
      </c>
    </row>
    <row r="214" spans="1:7" s="237" customFormat="1" ht="14.25">
      <c r="A214" s="427" t="s">
        <v>2080</v>
      </c>
      <c r="B214" s="428" t="s">
        <v>2081</v>
      </c>
      <c r="C214" s="427" t="s">
        <v>1400</v>
      </c>
      <c r="D214" s="427" t="s">
        <v>1452</v>
      </c>
      <c r="E214" s="429">
        <v>4.0000000000000001E-3</v>
      </c>
      <c r="F214" s="430">
        <v>21.72</v>
      </c>
      <c r="G214" s="430">
        <v>0.09</v>
      </c>
    </row>
    <row r="215" spans="1:7" s="237" customFormat="1" ht="14.25">
      <c r="A215" s="420"/>
      <c r="B215" s="420"/>
      <c r="C215" s="420"/>
      <c r="D215" s="420"/>
      <c r="E215" s="513" t="s">
        <v>2084</v>
      </c>
      <c r="F215" s="513"/>
      <c r="G215" s="431">
        <v>875.78</v>
      </c>
    </row>
    <row r="216" spans="1:7" s="237" customFormat="1" ht="30">
      <c r="A216" s="512" t="s">
        <v>2085</v>
      </c>
      <c r="B216" s="512"/>
      <c r="C216" s="426" t="s">
        <v>2071</v>
      </c>
      <c r="D216" s="426" t="s">
        <v>2072</v>
      </c>
      <c r="E216" s="426" t="s">
        <v>2073</v>
      </c>
      <c r="F216" s="426" t="s">
        <v>2074</v>
      </c>
      <c r="G216" s="426" t="s">
        <v>2075</v>
      </c>
    </row>
    <row r="217" spans="1:7" s="237" customFormat="1" ht="28.5">
      <c r="A217" s="427" t="s">
        <v>2240</v>
      </c>
      <c r="B217" s="428" t="s">
        <v>2241</v>
      </c>
      <c r="C217" s="427" t="s">
        <v>1400</v>
      </c>
      <c r="D217" s="427" t="s">
        <v>2054</v>
      </c>
      <c r="E217" s="429">
        <v>4.75</v>
      </c>
      <c r="F217" s="430">
        <v>37.53</v>
      </c>
      <c r="G217" s="430">
        <v>178.27</v>
      </c>
    </row>
    <row r="218" spans="1:7" s="237" customFormat="1" ht="14.25">
      <c r="A218" s="427" t="s">
        <v>2088</v>
      </c>
      <c r="B218" s="428" t="s">
        <v>2089</v>
      </c>
      <c r="C218" s="427" t="s">
        <v>1400</v>
      </c>
      <c r="D218" s="427" t="s">
        <v>2054</v>
      </c>
      <c r="E218" s="429">
        <v>4.75</v>
      </c>
      <c r="F218" s="430">
        <v>27.47</v>
      </c>
      <c r="G218" s="430">
        <v>130.47999999999999</v>
      </c>
    </row>
    <row r="219" spans="1:7" s="237" customFormat="1" ht="14.25">
      <c r="A219" s="420"/>
      <c r="B219" s="420"/>
      <c r="C219" s="420"/>
      <c r="D219" s="420"/>
      <c r="E219" s="513" t="s">
        <v>2090</v>
      </c>
      <c r="F219" s="513"/>
      <c r="G219" s="431">
        <v>308.75</v>
      </c>
    </row>
    <row r="220" spans="1:7" s="237" customFormat="1" ht="30">
      <c r="A220" s="512" t="s">
        <v>2091</v>
      </c>
      <c r="B220" s="512"/>
      <c r="C220" s="426" t="s">
        <v>2071</v>
      </c>
      <c r="D220" s="426" t="s">
        <v>2072</v>
      </c>
      <c r="E220" s="426" t="s">
        <v>2073</v>
      </c>
      <c r="F220" s="426" t="s">
        <v>2074</v>
      </c>
      <c r="G220" s="426" t="s">
        <v>2075</v>
      </c>
    </row>
    <row r="221" spans="1:7" s="237" customFormat="1" ht="42.75">
      <c r="A221" s="427" t="s">
        <v>2242</v>
      </c>
      <c r="B221" s="428" t="s">
        <v>2243</v>
      </c>
      <c r="C221" s="427" t="s">
        <v>1400</v>
      </c>
      <c r="D221" s="427" t="s">
        <v>1422</v>
      </c>
      <c r="E221" s="429">
        <v>0.01</v>
      </c>
      <c r="F221" s="430">
        <v>510.8</v>
      </c>
      <c r="G221" s="430">
        <v>5.1100000000000003</v>
      </c>
    </row>
    <row r="222" spans="1:7" s="237" customFormat="1" ht="28.5">
      <c r="A222" s="427" t="s">
        <v>2244</v>
      </c>
      <c r="B222" s="428" t="s">
        <v>2245</v>
      </c>
      <c r="C222" s="427" t="s">
        <v>1400</v>
      </c>
      <c r="D222" s="427" t="s">
        <v>1403</v>
      </c>
      <c r="E222" s="429">
        <v>1</v>
      </c>
      <c r="F222" s="430">
        <v>293.79000000000002</v>
      </c>
      <c r="G222" s="430">
        <v>293.79000000000002</v>
      </c>
    </row>
    <row r="223" spans="1:7" s="237" customFormat="1" ht="28.5">
      <c r="A223" s="427" t="s">
        <v>2246</v>
      </c>
      <c r="B223" s="428" t="s">
        <v>2247</v>
      </c>
      <c r="C223" s="427" t="s">
        <v>1400</v>
      </c>
      <c r="D223" s="427" t="s">
        <v>1398</v>
      </c>
      <c r="E223" s="429">
        <v>0.3</v>
      </c>
      <c r="F223" s="430">
        <v>448.3</v>
      </c>
      <c r="G223" s="430">
        <v>134.49</v>
      </c>
    </row>
    <row r="224" spans="1:7" s="237" customFormat="1" ht="14.25">
      <c r="A224" s="420"/>
      <c r="B224" s="420"/>
      <c r="C224" s="420"/>
      <c r="D224" s="420"/>
      <c r="E224" s="513" t="s">
        <v>2094</v>
      </c>
      <c r="F224" s="513"/>
      <c r="G224" s="431">
        <v>433.39</v>
      </c>
    </row>
    <row r="225" spans="1:7" s="237" customFormat="1">
      <c r="A225" s="420"/>
      <c r="B225" s="420"/>
      <c r="C225" s="420"/>
      <c r="D225" s="420"/>
      <c r="E225" s="483" t="s">
        <v>2095</v>
      </c>
      <c r="F225" s="483"/>
      <c r="G225" s="415">
        <v>1617.92</v>
      </c>
    </row>
    <row r="226" spans="1:7" s="237" customFormat="1" ht="14.25">
      <c r="A226" s="420"/>
      <c r="B226" s="420"/>
      <c r="C226" s="514"/>
      <c r="D226" s="514"/>
      <c r="E226" s="420"/>
      <c r="F226" s="420"/>
      <c r="G226" s="420"/>
    </row>
    <row r="227" spans="1:7" s="237" customFormat="1">
      <c r="A227" s="515" t="s">
        <v>2248</v>
      </c>
      <c r="B227" s="515"/>
      <c r="C227" s="515"/>
      <c r="D227" s="515"/>
      <c r="E227" s="515"/>
      <c r="F227" s="515"/>
      <c r="G227" s="515"/>
    </row>
    <row r="228" spans="1:7" s="237" customFormat="1" ht="30">
      <c r="A228" s="512" t="s">
        <v>2070</v>
      </c>
      <c r="B228" s="512"/>
      <c r="C228" s="426" t="s">
        <v>2071</v>
      </c>
      <c r="D228" s="426" t="s">
        <v>2072</v>
      </c>
      <c r="E228" s="426" t="s">
        <v>2073</v>
      </c>
      <c r="F228" s="426" t="s">
        <v>2074</v>
      </c>
      <c r="G228" s="426" t="s">
        <v>2075</v>
      </c>
    </row>
    <row r="229" spans="1:7" s="237" customFormat="1" ht="28.5">
      <c r="A229" s="427" t="s">
        <v>2249</v>
      </c>
      <c r="B229" s="428" t="s">
        <v>2250</v>
      </c>
      <c r="C229" s="427" t="s">
        <v>1400</v>
      </c>
      <c r="D229" s="427" t="s">
        <v>1403</v>
      </c>
      <c r="E229" s="429">
        <v>0.61480000000000001</v>
      </c>
      <c r="F229" s="430">
        <v>33.15</v>
      </c>
      <c r="G229" s="430">
        <v>20.38</v>
      </c>
    </row>
    <row r="230" spans="1:7" s="237" customFormat="1" ht="14.25">
      <c r="A230" s="420"/>
      <c r="B230" s="420"/>
      <c r="C230" s="420"/>
      <c r="D230" s="420"/>
      <c r="E230" s="513" t="s">
        <v>2084</v>
      </c>
      <c r="F230" s="513"/>
      <c r="G230" s="431">
        <v>20.38</v>
      </c>
    </row>
    <row r="231" spans="1:7" s="237" customFormat="1" ht="30">
      <c r="A231" s="512" t="s">
        <v>2085</v>
      </c>
      <c r="B231" s="512"/>
      <c r="C231" s="426" t="s">
        <v>2071</v>
      </c>
      <c r="D231" s="426" t="s">
        <v>2072</v>
      </c>
      <c r="E231" s="426" t="s">
        <v>2073</v>
      </c>
      <c r="F231" s="426" t="s">
        <v>2074</v>
      </c>
      <c r="G231" s="426" t="s">
        <v>2075</v>
      </c>
    </row>
    <row r="232" spans="1:7" s="237" customFormat="1" ht="28.5">
      <c r="A232" s="427" t="s">
        <v>2240</v>
      </c>
      <c r="B232" s="428" t="s">
        <v>2241</v>
      </c>
      <c r="C232" s="427" t="s">
        <v>1400</v>
      </c>
      <c r="D232" s="427" t="s">
        <v>2054</v>
      </c>
      <c r="E232" s="429">
        <v>0.36348999999999998</v>
      </c>
      <c r="F232" s="430">
        <v>37.53</v>
      </c>
      <c r="G232" s="430">
        <v>13.64</v>
      </c>
    </row>
    <row r="233" spans="1:7" s="237" customFormat="1" ht="14.25">
      <c r="A233" s="427" t="s">
        <v>2088</v>
      </c>
      <c r="B233" s="428" t="s">
        <v>2089</v>
      </c>
      <c r="C233" s="427" t="s">
        <v>1400</v>
      </c>
      <c r="D233" s="427" t="s">
        <v>2054</v>
      </c>
      <c r="E233" s="429">
        <v>0.17671200000000001</v>
      </c>
      <c r="F233" s="430">
        <v>27.47</v>
      </c>
      <c r="G233" s="430">
        <v>4.8499999999999996</v>
      </c>
    </row>
    <row r="234" spans="1:7" s="237" customFormat="1" ht="14.25">
      <c r="A234" s="420"/>
      <c r="B234" s="420"/>
      <c r="C234" s="420"/>
      <c r="D234" s="420"/>
      <c r="E234" s="513" t="s">
        <v>2090</v>
      </c>
      <c r="F234" s="513"/>
      <c r="G234" s="431">
        <v>18.489999999999998</v>
      </c>
    </row>
    <row r="235" spans="1:7" s="237" customFormat="1">
      <c r="A235" s="420"/>
      <c r="B235" s="420"/>
      <c r="C235" s="420"/>
      <c r="D235" s="420"/>
      <c r="E235" s="483" t="s">
        <v>2095</v>
      </c>
      <c r="F235" s="483"/>
      <c r="G235" s="415">
        <v>38.869999999999997</v>
      </c>
    </row>
    <row r="236" spans="1:7" s="237" customFormat="1" ht="14.25">
      <c r="A236" s="420"/>
      <c r="B236" s="420"/>
      <c r="C236" s="514"/>
      <c r="D236" s="514"/>
      <c r="E236" s="420"/>
      <c r="F236" s="420"/>
      <c r="G236" s="420"/>
    </row>
    <row r="237" spans="1:7" s="237" customFormat="1">
      <c r="A237" s="515" t="s">
        <v>2251</v>
      </c>
      <c r="B237" s="515"/>
      <c r="C237" s="515"/>
      <c r="D237" s="515"/>
      <c r="E237" s="515"/>
      <c r="F237" s="515"/>
      <c r="G237" s="515"/>
    </row>
    <row r="238" spans="1:7" s="237" customFormat="1" ht="30">
      <c r="A238" s="512" t="s">
        <v>2070</v>
      </c>
      <c r="B238" s="512"/>
      <c r="C238" s="426" t="s">
        <v>2071</v>
      </c>
      <c r="D238" s="426" t="s">
        <v>2072</v>
      </c>
      <c r="E238" s="426" t="s">
        <v>2073</v>
      </c>
      <c r="F238" s="426" t="s">
        <v>2074</v>
      </c>
      <c r="G238" s="426" t="s">
        <v>2075</v>
      </c>
    </row>
    <row r="239" spans="1:7" s="237" customFormat="1" ht="28.5">
      <c r="A239" s="427" t="s">
        <v>2196</v>
      </c>
      <c r="B239" s="428" t="s">
        <v>2197</v>
      </c>
      <c r="C239" s="427" t="s">
        <v>1400</v>
      </c>
      <c r="D239" s="427" t="s">
        <v>1452</v>
      </c>
      <c r="E239" s="429">
        <v>1.89</v>
      </c>
      <c r="F239" s="430">
        <v>54.95</v>
      </c>
      <c r="G239" s="430">
        <v>103.86</v>
      </c>
    </row>
    <row r="240" spans="1:7" s="237" customFormat="1" ht="14.25">
      <c r="A240" s="420"/>
      <c r="B240" s="420"/>
      <c r="C240" s="420"/>
      <c r="D240" s="420"/>
      <c r="E240" s="513" t="s">
        <v>2084</v>
      </c>
      <c r="F240" s="513"/>
      <c r="G240" s="431">
        <v>103.86</v>
      </c>
    </row>
    <row r="241" spans="1:7" s="237" customFormat="1" ht="30">
      <c r="A241" s="512" t="s">
        <v>2085</v>
      </c>
      <c r="B241" s="512"/>
      <c r="C241" s="426" t="s">
        <v>2071</v>
      </c>
      <c r="D241" s="426" t="s">
        <v>2072</v>
      </c>
      <c r="E241" s="426" t="s">
        <v>2073</v>
      </c>
      <c r="F241" s="426" t="s">
        <v>2074</v>
      </c>
      <c r="G241" s="426" t="s">
        <v>2075</v>
      </c>
    </row>
    <row r="242" spans="1:7" s="237" customFormat="1" ht="28.5">
      <c r="A242" s="427" t="s">
        <v>2086</v>
      </c>
      <c r="B242" s="428" t="s">
        <v>2087</v>
      </c>
      <c r="C242" s="427" t="s">
        <v>1400</v>
      </c>
      <c r="D242" s="427" t="s">
        <v>2054</v>
      </c>
      <c r="E242" s="429">
        <v>1</v>
      </c>
      <c r="F242" s="430">
        <v>35.35</v>
      </c>
      <c r="G242" s="430">
        <v>35.35</v>
      </c>
    </row>
    <row r="243" spans="1:7" s="237" customFormat="1" ht="14.25">
      <c r="A243" s="427" t="s">
        <v>2088</v>
      </c>
      <c r="B243" s="428" t="s">
        <v>2089</v>
      </c>
      <c r="C243" s="427" t="s">
        <v>1400</v>
      </c>
      <c r="D243" s="427" t="s">
        <v>2054</v>
      </c>
      <c r="E243" s="429">
        <v>1</v>
      </c>
      <c r="F243" s="430">
        <v>27.47</v>
      </c>
      <c r="G243" s="430">
        <v>27.47</v>
      </c>
    </row>
    <row r="244" spans="1:7" s="237" customFormat="1" ht="14.25">
      <c r="A244" s="420"/>
      <c r="B244" s="420"/>
      <c r="C244" s="420"/>
      <c r="D244" s="420"/>
      <c r="E244" s="513" t="s">
        <v>2090</v>
      </c>
      <c r="F244" s="513"/>
      <c r="G244" s="431">
        <v>62.82</v>
      </c>
    </row>
    <row r="245" spans="1:7" s="237" customFormat="1">
      <c r="A245" s="420"/>
      <c r="B245" s="420"/>
      <c r="C245" s="420"/>
      <c r="D245" s="420"/>
      <c r="E245" s="483" t="s">
        <v>2095</v>
      </c>
      <c r="F245" s="483"/>
      <c r="G245" s="415">
        <v>166.68</v>
      </c>
    </row>
    <row r="246" spans="1:7" s="237" customFormat="1" ht="14.25">
      <c r="A246" s="420"/>
      <c r="B246" s="420"/>
      <c r="C246" s="514"/>
      <c r="D246" s="514"/>
      <c r="E246" s="420"/>
      <c r="F246" s="420"/>
      <c r="G246" s="420"/>
    </row>
    <row r="247" spans="1:7" s="237" customFormat="1" ht="36" customHeight="1">
      <c r="A247" s="515" t="s">
        <v>2252</v>
      </c>
      <c r="B247" s="515"/>
      <c r="C247" s="515"/>
      <c r="D247" s="515"/>
      <c r="E247" s="515"/>
      <c r="F247" s="515"/>
      <c r="G247" s="515"/>
    </row>
    <row r="248" spans="1:7" s="237" customFormat="1" ht="30">
      <c r="A248" s="512" t="s">
        <v>2070</v>
      </c>
      <c r="B248" s="512"/>
      <c r="C248" s="426" t="s">
        <v>2071</v>
      </c>
      <c r="D248" s="426" t="s">
        <v>2072</v>
      </c>
      <c r="E248" s="426" t="s">
        <v>2073</v>
      </c>
      <c r="F248" s="426" t="s">
        <v>2074</v>
      </c>
      <c r="G248" s="426" t="s">
        <v>2075</v>
      </c>
    </row>
    <row r="249" spans="1:7" s="237" customFormat="1" ht="71.25">
      <c r="A249" s="427" t="s">
        <v>2253</v>
      </c>
      <c r="B249" s="428" t="s">
        <v>2254</v>
      </c>
      <c r="C249" s="427" t="s">
        <v>1400</v>
      </c>
      <c r="D249" s="427" t="s">
        <v>2237</v>
      </c>
      <c r="E249" s="429">
        <v>2</v>
      </c>
      <c r="F249" s="430">
        <v>184.39</v>
      </c>
      <c r="G249" s="430">
        <v>368.78</v>
      </c>
    </row>
    <row r="250" spans="1:7" s="237" customFormat="1" ht="28.5">
      <c r="A250" s="427" t="s">
        <v>2255</v>
      </c>
      <c r="B250" s="428" t="s">
        <v>2256</v>
      </c>
      <c r="C250" s="427" t="s">
        <v>1400</v>
      </c>
      <c r="D250" s="427" t="s">
        <v>1403</v>
      </c>
      <c r="E250" s="429">
        <v>2</v>
      </c>
      <c r="F250" s="430">
        <v>993.68</v>
      </c>
      <c r="G250" s="430">
        <v>1987.36</v>
      </c>
    </row>
    <row r="251" spans="1:7" s="237" customFormat="1" ht="28.5">
      <c r="A251" s="427" t="s">
        <v>2257</v>
      </c>
      <c r="B251" s="428" t="s">
        <v>2258</v>
      </c>
      <c r="C251" s="427" t="s">
        <v>1400</v>
      </c>
      <c r="D251" s="427" t="s">
        <v>1398</v>
      </c>
      <c r="E251" s="429">
        <v>4.1399999999999997</v>
      </c>
      <c r="F251" s="430">
        <v>550</v>
      </c>
      <c r="G251" s="430">
        <v>2277</v>
      </c>
    </row>
    <row r="252" spans="1:7" s="237" customFormat="1" ht="14.25">
      <c r="A252" s="420"/>
      <c r="B252" s="420"/>
      <c r="C252" s="420"/>
      <c r="D252" s="420"/>
      <c r="E252" s="513" t="s">
        <v>2084</v>
      </c>
      <c r="F252" s="513"/>
      <c r="G252" s="431">
        <v>4633.1400000000003</v>
      </c>
    </row>
    <row r="253" spans="1:7" s="237" customFormat="1" ht="30">
      <c r="A253" s="512" t="s">
        <v>2085</v>
      </c>
      <c r="B253" s="512"/>
      <c r="C253" s="426" t="s">
        <v>2071</v>
      </c>
      <c r="D253" s="426" t="s">
        <v>2072</v>
      </c>
      <c r="E253" s="426" t="s">
        <v>2073</v>
      </c>
      <c r="F253" s="426" t="s">
        <v>2074</v>
      </c>
      <c r="G253" s="426" t="s">
        <v>2075</v>
      </c>
    </row>
    <row r="254" spans="1:7" s="237" customFormat="1" ht="14.25">
      <c r="A254" s="427" t="s">
        <v>2088</v>
      </c>
      <c r="B254" s="428" t="s">
        <v>2089</v>
      </c>
      <c r="C254" s="427" t="s">
        <v>1400</v>
      </c>
      <c r="D254" s="427" t="s">
        <v>2054</v>
      </c>
      <c r="E254" s="429">
        <v>6.57</v>
      </c>
      <c r="F254" s="430">
        <v>27.47</v>
      </c>
      <c r="G254" s="430">
        <v>180.48</v>
      </c>
    </row>
    <row r="255" spans="1:7" s="237" customFormat="1" ht="14.25">
      <c r="A255" s="427" t="s">
        <v>2259</v>
      </c>
      <c r="B255" s="428" t="s">
        <v>2260</v>
      </c>
      <c r="C255" s="427" t="s">
        <v>1400</v>
      </c>
      <c r="D255" s="427" t="s">
        <v>2054</v>
      </c>
      <c r="E255" s="429">
        <v>6.76</v>
      </c>
      <c r="F255" s="430">
        <v>31.92</v>
      </c>
      <c r="G255" s="430">
        <v>215.78</v>
      </c>
    </row>
    <row r="256" spans="1:7" s="237" customFormat="1" ht="14.25">
      <c r="A256" s="420"/>
      <c r="B256" s="420"/>
      <c r="C256" s="420"/>
      <c r="D256" s="420"/>
      <c r="E256" s="513" t="s">
        <v>2090</v>
      </c>
      <c r="F256" s="513"/>
      <c r="G256" s="431">
        <v>396.26</v>
      </c>
    </row>
    <row r="257" spans="1:7" s="237" customFormat="1">
      <c r="A257" s="420"/>
      <c r="B257" s="420"/>
      <c r="C257" s="420"/>
      <c r="D257" s="420"/>
      <c r="E257" s="483" t="s">
        <v>2095</v>
      </c>
      <c r="F257" s="483"/>
      <c r="G257" s="415">
        <v>5029.3999999999996</v>
      </c>
    </row>
    <row r="258" spans="1:7" s="237" customFormat="1" ht="14.25">
      <c r="A258" s="420"/>
      <c r="B258" s="420"/>
      <c r="C258" s="514"/>
      <c r="D258" s="514"/>
      <c r="E258" s="420"/>
      <c r="F258" s="420"/>
      <c r="G258" s="420"/>
    </row>
    <row r="259" spans="1:7" s="237" customFormat="1">
      <c r="A259" s="515" t="s">
        <v>2261</v>
      </c>
      <c r="B259" s="515"/>
      <c r="C259" s="515"/>
      <c r="D259" s="515"/>
      <c r="E259" s="515"/>
      <c r="F259" s="515"/>
      <c r="G259" s="515"/>
    </row>
    <row r="260" spans="1:7" s="237" customFormat="1" ht="30">
      <c r="A260" s="512" t="s">
        <v>2070</v>
      </c>
      <c r="B260" s="512"/>
      <c r="C260" s="426" t="s">
        <v>2071</v>
      </c>
      <c r="D260" s="426" t="s">
        <v>2072</v>
      </c>
      <c r="E260" s="426" t="s">
        <v>2073</v>
      </c>
      <c r="F260" s="426" t="s">
        <v>2074</v>
      </c>
      <c r="G260" s="426" t="s">
        <v>2075</v>
      </c>
    </row>
    <row r="261" spans="1:7" s="237" customFormat="1" ht="14.25">
      <c r="A261" s="427" t="s">
        <v>2262</v>
      </c>
      <c r="B261" s="428" t="s">
        <v>2263</v>
      </c>
      <c r="C261" s="427" t="s">
        <v>1400</v>
      </c>
      <c r="D261" s="427" t="s">
        <v>1398</v>
      </c>
      <c r="E261" s="429">
        <v>1</v>
      </c>
      <c r="F261" s="430">
        <v>272.33</v>
      </c>
      <c r="G261" s="430">
        <v>272.33</v>
      </c>
    </row>
    <row r="262" spans="1:7" s="237" customFormat="1" ht="42.75">
      <c r="A262" s="427" t="s">
        <v>2264</v>
      </c>
      <c r="B262" s="428" t="s">
        <v>2265</v>
      </c>
      <c r="C262" s="427" t="s">
        <v>1400</v>
      </c>
      <c r="D262" s="427" t="s">
        <v>1403</v>
      </c>
      <c r="E262" s="429">
        <v>4</v>
      </c>
      <c r="F262" s="430">
        <v>7.83</v>
      </c>
      <c r="G262" s="430">
        <v>31.32</v>
      </c>
    </row>
    <row r="263" spans="1:7" s="237" customFormat="1" ht="14.25">
      <c r="A263" s="420"/>
      <c r="B263" s="420"/>
      <c r="C263" s="420"/>
      <c r="D263" s="420"/>
      <c r="E263" s="513" t="s">
        <v>2084</v>
      </c>
      <c r="F263" s="513"/>
      <c r="G263" s="431">
        <v>303.64999999999998</v>
      </c>
    </row>
    <row r="264" spans="1:7" s="237" customFormat="1" ht="30">
      <c r="A264" s="512" t="s">
        <v>2085</v>
      </c>
      <c r="B264" s="512"/>
      <c r="C264" s="426" t="s">
        <v>2071</v>
      </c>
      <c r="D264" s="426" t="s">
        <v>2072</v>
      </c>
      <c r="E264" s="426" t="s">
        <v>2073</v>
      </c>
      <c r="F264" s="426" t="s">
        <v>2074</v>
      </c>
      <c r="G264" s="426" t="s">
        <v>2075</v>
      </c>
    </row>
    <row r="265" spans="1:7" s="237" customFormat="1" ht="14.25">
      <c r="A265" s="427" t="s">
        <v>2088</v>
      </c>
      <c r="B265" s="428" t="s">
        <v>2089</v>
      </c>
      <c r="C265" s="427" t="s">
        <v>1400</v>
      </c>
      <c r="D265" s="427" t="s">
        <v>2054</v>
      </c>
      <c r="E265" s="429">
        <v>0.4</v>
      </c>
      <c r="F265" s="430">
        <v>27.47</v>
      </c>
      <c r="G265" s="430">
        <v>10.99</v>
      </c>
    </row>
    <row r="266" spans="1:7" s="237" customFormat="1" ht="14.25">
      <c r="A266" s="427" t="s">
        <v>2259</v>
      </c>
      <c r="B266" s="428" t="s">
        <v>2260</v>
      </c>
      <c r="C266" s="427" t="s">
        <v>1400</v>
      </c>
      <c r="D266" s="427" t="s">
        <v>2054</v>
      </c>
      <c r="E266" s="429">
        <v>2</v>
      </c>
      <c r="F266" s="430">
        <v>31.92</v>
      </c>
      <c r="G266" s="430">
        <v>63.84</v>
      </c>
    </row>
    <row r="267" spans="1:7" s="237" customFormat="1" ht="14.25">
      <c r="A267" s="420"/>
      <c r="B267" s="420"/>
      <c r="C267" s="420"/>
      <c r="D267" s="420"/>
      <c r="E267" s="513" t="s">
        <v>2090</v>
      </c>
      <c r="F267" s="513"/>
      <c r="G267" s="431">
        <v>74.83</v>
      </c>
    </row>
    <row r="268" spans="1:7" s="237" customFormat="1">
      <c r="A268" s="420"/>
      <c r="B268" s="420"/>
      <c r="C268" s="420"/>
      <c r="D268" s="420"/>
      <c r="E268" s="483" t="s">
        <v>2095</v>
      </c>
      <c r="F268" s="483"/>
      <c r="G268" s="415">
        <v>378.48</v>
      </c>
    </row>
    <row r="269" spans="1:7" s="237" customFormat="1" ht="14.25">
      <c r="A269" s="420"/>
      <c r="B269" s="420"/>
      <c r="C269" s="514"/>
      <c r="D269" s="514"/>
      <c r="E269" s="420"/>
      <c r="F269" s="420"/>
      <c r="G269" s="420"/>
    </row>
    <row r="270" spans="1:7" s="237" customFormat="1">
      <c r="A270" s="515" t="s">
        <v>2266</v>
      </c>
      <c r="B270" s="515"/>
      <c r="C270" s="515"/>
      <c r="D270" s="515"/>
      <c r="E270" s="515"/>
      <c r="F270" s="515"/>
      <c r="G270" s="515"/>
    </row>
    <row r="271" spans="1:7" s="237" customFormat="1" ht="30">
      <c r="A271" s="512" t="s">
        <v>2070</v>
      </c>
      <c r="B271" s="512"/>
      <c r="C271" s="426" t="s">
        <v>2071</v>
      </c>
      <c r="D271" s="426" t="s">
        <v>2072</v>
      </c>
      <c r="E271" s="426" t="s">
        <v>2073</v>
      </c>
      <c r="F271" s="426" t="s">
        <v>2074</v>
      </c>
      <c r="G271" s="426" t="s">
        <v>2075</v>
      </c>
    </row>
    <row r="272" spans="1:7" s="237" customFormat="1" ht="42.75">
      <c r="A272" s="427" t="s">
        <v>2267</v>
      </c>
      <c r="B272" s="428" t="s">
        <v>2268</v>
      </c>
      <c r="C272" s="427" t="s">
        <v>1400</v>
      </c>
      <c r="D272" s="427" t="s">
        <v>1452</v>
      </c>
      <c r="E272" s="429">
        <v>1.6319999999999999</v>
      </c>
      <c r="F272" s="430">
        <v>33.4</v>
      </c>
      <c r="G272" s="430">
        <v>54.51</v>
      </c>
    </row>
    <row r="273" spans="1:7" s="237" customFormat="1" ht="42.75">
      <c r="A273" s="427" t="s">
        <v>2269</v>
      </c>
      <c r="B273" s="428" t="s">
        <v>2270</v>
      </c>
      <c r="C273" s="427" t="s">
        <v>1400</v>
      </c>
      <c r="D273" s="427" t="s">
        <v>1398</v>
      </c>
      <c r="E273" s="429">
        <v>1.05</v>
      </c>
      <c r="F273" s="430">
        <v>2.73</v>
      </c>
      <c r="G273" s="430">
        <v>2.87</v>
      </c>
    </row>
    <row r="274" spans="1:7" s="237" customFormat="1" ht="14.25">
      <c r="A274" s="420"/>
      <c r="B274" s="420"/>
      <c r="C274" s="420"/>
      <c r="D274" s="420"/>
      <c r="E274" s="513" t="s">
        <v>2084</v>
      </c>
      <c r="F274" s="513"/>
      <c r="G274" s="431">
        <v>57.38</v>
      </c>
    </row>
    <row r="275" spans="1:7" s="237" customFormat="1" ht="30">
      <c r="A275" s="512" t="s">
        <v>2085</v>
      </c>
      <c r="B275" s="512"/>
      <c r="C275" s="426" t="s">
        <v>2071</v>
      </c>
      <c r="D275" s="426" t="s">
        <v>2072</v>
      </c>
      <c r="E275" s="426" t="s">
        <v>2073</v>
      </c>
      <c r="F275" s="426" t="s">
        <v>2074</v>
      </c>
      <c r="G275" s="426" t="s">
        <v>2075</v>
      </c>
    </row>
    <row r="276" spans="1:7" s="237" customFormat="1" ht="28.5">
      <c r="A276" s="427" t="s">
        <v>2086</v>
      </c>
      <c r="B276" s="428" t="s">
        <v>2087</v>
      </c>
      <c r="C276" s="427" t="s">
        <v>1400</v>
      </c>
      <c r="D276" s="427" t="s">
        <v>2054</v>
      </c>
      <c r="E276" s="429">
        <v>0.8</v>
      </c>
      <c r="F276" s="430">
        <v>35.35</v>
      </c>
      <c r="G276" s="430">
        <v>28.28</v>
      </c>
    </row>
    <row r="277" spans="1:7" s="237" customFormat="1" ht="14.25">
      <c r="A277" s="427" t="s">
        <v>2088</v>
      </c>
      <c r="B277" s="428" t="s">
        <v>2089</v>
      </c>
      <c r="C277" s="427" t="s">
        <v>1400</v>
      </c>
      <c r="D277" s="427" t="s">
        <v>2054</v>
      </c>
      <c r="E277" s="429">
        <v>0.8</v>
      </c>
      <c r="F277" s="430">
        <v>27.47</v>
      </c>
      <c r="G277" s="430">
        <v>21.98</v>
      </c>
    </row>
    <row r="278" spans="1:7" s="237" customFormat="1" ht="14.25">
      <c r="A278" s="420"/>
      <c r="B278" s="420"/>
      <c r="C278" s="420"/>
      <c r="D278" s="420"/>
      <c r="E278" s="513" t="s">
        <v>2090</v>
      </c>
      <c r="F278" s="513"/>
      <c r="G278" s="431">
        <v>50.26</v>
      </c>
    </row>
    <row r="279" spans="1:7" s="237" customFormat="1">
      <c r="A279" s="420"/>
      <c r="B279" s="420"/>
      <c r="C279" s="420"/>
      <c r="D279" s="420"/>
      <c r="E279" s="483" t="s">
        <v>2095</v>
      </c>
      <c r="F279" s="483"/>
      <c r="G279" s="415">
        <v>107.64</v>
      </c>
    </row>
    <row r="280" spans="1:7" s="237" customFormat="1" ht="14.25">
      <c r="A280" s="420"/>
      <c r="B280" s="420"/>
      <c r="C280" s="514"/>
      <c r="D280" s="514"/>
      <c r="E280" s="420"/>
      <c r="F280" s="420"/>
      <c r="G280" s="420"/>
    </row>
    <row r="281" spans="1:7" s="237" customFormat="1" ht="33.75" customHeight="1">
      <c r="A281" s="515" t="s">
        <v>2271</v>
      </c>
      <c r="B281" s="515"/>
      <c r="C281" s="515"/>
      <c r="D281" s="515"/>
      <c r="E281" s="515"/>
      <c r="F281" s="515"/>
      <c r="G281" s="515"/>
    </row>
    <row r="282" spans="1:7" s="237" customFormat="1" ht="30">
      <c r="A282" s="512" t="s">
        <v>2070</v>
      </c>
      <c r="B282" s="512"/>
      <c r="C282" s="426" t="s">
        <v>2071</v>
      </c>
      <c r="D282" s="426" t="s">
        <v>2072</v>
      </c>
      <c r="E282" s="426" t="s">
        <v>2073</v>
      </c>
      <c r="F282" s="426" t="s">
        <v>2074</v>
      </c>
      <c r="G282" s="426" t="s">
        <v>2075</v>
      </c>
    </row>
    <row r="283" spans="1:7" s="237" customFormat="1" ht="42.75">
      <c r="A283" s="427" t="s">
        <v>2272</v>
      </c>
      <c r="B283" s="428" t="s">
        <v>2273</v>
      </c>
      <c r="C283" s="427" t="s">
        <v>1400</v>
      </c>
      <c r="D283" s="427" t="s">
        <v>1403</v>
      </c>
      <c r="E283" s="429">
        <v>1</v>
      </c>
      <c r="F283" s="430">
        <v>785.23</v>
      </c>
      <c r="G283" s="430">
        <v>785.23</v>
      </c>
    </row>
    <row r="284" spans="1:7" s="237" customFormat="1" ht="14.25">
      <c r="A284" s="420"/>
      <c r="B284" s="420"/>
      <c r="C284" s="420"/>
      <c r="D284" s="420"/>
      <c r="E284" s="513" t="s">
        <v>2084</v>
      </c>
      <c r="F284" s="513"/>
      <c r="G284" s="431">
        <v>785.23</v>
      </c>
    </row>
    <row r="285" spans="1:7" s="237" customFormat="1" ht="30">
      <c r="A285" s="512" t="s">
        <v>2085</v>
      </c>
      <c r="B285" s="512"/>
      <c r="C285" s="426" t="s">
        <v>2071</v>
      </c>
      <c r="D285" s="426" t="s">
        <v>2072</v>
      </c>
      <c r="E285" s="426" t="s">
        <v>2073</v>
      </c>
      <c r="F285" s="426" t="s">
        <v>2074</v>
      </c>
      <c r="G285" s="426" t="s">
        <v>2075</v>
      </c>
    </row>
    <row r="286" spans="1:7" s="237" customFormat="1" ht="14.25">
      <c r="A286" s="427" t="s">
        <v>2181</v>
      </c>
      <c r="B286" s="428" t="s">
        <v>2182</v>
      </c>
      <c r="C286" s="427" t="s">
        <v>1400</v>
      </c>
      <c r="D286" s="427" t="s">
        <v>2054</v>
      </c>
      <c r="E286" s="429">
        <v>1</v>
      </c>
      <c r="F286" s="430">
        <v>35.81</v>
      </c>
      <c r="G286" s="430">
        <v>35.81</v>
      </c>
    </row>
    <row r="287" spans="1:7" s="237" customFormat="1" ht="14.25">
      <c r="A287" s="427" t="s">
        <v>2088</v>
      </c>
      <c r="B287" s="428" t="s">
        <v>2089</v>
      </c>
      <c r="C287" s="427" t="s">
        <v>1400</v>
      </c>
      <c r="D287" s="427" t="s">
        <v>2054</v>
      </c>
      <c r="E287" s="429">
        <v>1</v>
      </c>
      <c r="F287" s="430">
        <v>27.47</v>
      </c>
      <c r="G287" s="430">
        <v>27.47</v>
      </c>
    </row>
    <row r="288" spans="1:7" s="237" customFormat="1" ht="14.25">
      <c r="A288" s="420"/>
      <c r="B288" s="420"/>
      <c r="C288" s="420"/>
      <c r="D288" s="420"/>
      <c r="E288" s="513" t="s">
        <v>2090</v>
      </c>
      <c r="F288" s="513"/>
      <c r="G288" s="431">
        <v>63.28</v>
      </c>
    </row>
    <row r="289" spans="1:7" s="237" customFormat="1" ht="30">
      <c r="A289" s="512" t="s">
        <v>2091</v>
      </c>
      <c r="B289" s="512"/>
      <c r="C289" s="426" t="s">
        <v>2071</v>
      </c>
      <c r="D289" s="426" t="s">
        <v>2072</v>
      </c>
      <c r="E289" s="426" t="s">
        <v>2073</v>
      </c>
      <c r="F289" s="426" t="s">
        <v>2074</v>
      </c>
      <c r="G289" s="426" t="s">
        <v>2075</v>
      </c>
    </row>
    <row r="290" spans="1:7" s="237" customFormat="1" ht="42.75">
      <c r="A290" s="427" t="s">
        <v>2274</v>
      </c>
      <c r="B290" s="428" t="s">
        <v>2275</v>
      </c>
      <c r="C290" s="427" t="s">
        <v>1400</v>
      </c>
      <c r="D290" s="427" t="s">
        <v>1422</v>
      </c>
      <c r="E290" s="429">
        <v>3.0000000000000001E-3</v>
      </c>
      <c r="F290" s="430">
        <v>617.04</v>
      </c>
      <c r="G290" s="430">
        <v>1.85</v>
      </c>
    </row>
    <row r="291" spans="1:7" s="237" customFormat="1" ht="42.75">
      <c r="A291" s="427" t="s">
        <v>2276</v>
      </c>
      <c r="B291" s="428" t="s">
        <v>2277</v>
      </c>
      <c r="C291" s="427" t="s">
        <v>1400</v>
      </c>
      <c r="D291" s="427" t="s">
        <v>1398</v>
      </c>
      <c r="E291" s="429">
        <v>0.5</v>
      </c>
      <c r="F291" s="430">
        <v>233.97</v>
      </c>
      <c r="G291" s="430">
        <v>116.99</v>
      </c>
    </row>
    <row r="292" spans="1:7" s="237" customFormat="1" ht="14.25">
      <c r="A292" s="420"/>
      <c r="B292" s="420"/>
      <c r="C292" s="420"/>
      <c r="D292" s="420"/>
      <c r="E292" s="513" t="s">
        <v>2094</v>
      </c>
      <c r="F292" s="513"/>
      <c r="G292" s="431">
        <v>118.84</v>
      </c>
    </row>
    <row r="293" spans="1:7" s="237" customFormat="1">
      <c r="A293" s="420"/>
      <c r="B293" s="420"/>
      <c r="C293" s="420"/>
      <c r="D293" s="420"/>
      <c r="E293" s="483" t="s">
        <v>2095</v>
      </c>
      <c r="F293" s="483"/>
      <c r="G293" s="415">
        <v>967.35</v>
      </c>
    </row>
    <row r="294" spans="1:7" s="237" customFormat="1" ht="14.25">
      <c r="A294" s="420"/>
      <c r="B294" s="420"/>
      <c r="C294" s="514"/>
      <c r="D294" s="514"/>
      <c r="E294" s="420"/>
      <c r="F294" s="420"/>
      <c r="G294" s="420"/>
    </row>
    <row r="295" spans="1:7" s="237" customFormat="1">
      <c r="A295" s="515" t="s">
        <v>2278</v>
      </c>
      <c r="B295" s="515"/>
      <c r="C295" s="515"/>
      <c r="D295" s="515"/>
      <c r="E295" s="515"/>
      <c r="F295" s="515"/>
      <c r="G295" s="515"/>
    </row>
    <row r="296" spans="1:7" s="237" customFormat="1" ht="30">
      <c r="A296" s="512" t="s">
        <v>2070</v>
      </c>
      <c r="B296" s="512"/>
      <c r="C296" s="426" t="s">
        <v>2071</v>
      </c>
      <c r="D296" s="426" t="s">
        <v>2072</v>
      </c>
      <c r="E296" s="426" t="s">
        <v>2073</v>
      </c>
      <c r="F296" s="426" t="s">
        <v>2074</v>
      </c>
      <c r="G296" s="426" t="s">
        <v>2075</v>
      </c>
    </row>
    <row r="297" spans="1:7" s="237" customFormat="1" ht="28.5">
      <c r="A297" s="427" t="s">
        <v>2279</v>
      </c>
      <c r="B297" s="428" t="s">
        <v>2280</v>
      </c>
      <c r="C297" s="427" t="s">
        <v>1400</v>
      </c>
      <c r="D297" s="427" t="s">
        <v>1416</v>
      </c>
      <c r="E297" s="429">
        <v>9.17</v>
      </c>
      <c r="F297" s="430">
        <v>17.38</v>
      </c>
      <c r="G297" s="430">
        <v>159.37</v>
      </c>
    </row>
    <row r="298" spans="1:7" s="237" customFormat="1" ht="28.5">
      <c r="A298" s="427" t="s">
        <v>2281</v>
      </c>
      <c r="B298" s="428" t="s">
        <v>2282</v>
      </c>
      <c r="C298" s="427" t="s">
        <v>1400</v>
      </c>
      <c r="D298" s="427" t="s">
        <v>1452</v>
      </c>
      <c r="E298" s="429">
        <v>7.5439999999999996</v>
      </c>
      <c r="F298" s="430">
        <v>9.35</v>
      </c>
      <c r="G298" s="430">
        <v>70.540000000000006</v>
      </c>
    </row>
    <row r="299" spans="1:7" s="237" customFormat="1" ht="28.5">
      <c r="A299" s="427" t="s">
        <v>2283</v>
      </c>
      <c r="B299" s="428" t="s">
        <v>2284</v>
      </c>
      <c r="C299" s="427" t="s">
        <v>1400</v>
      </c>
      <c r="D299" s="427" t="s">
        <v>1452</v>
      </c>
      <c r="E299" s="429">
        <v>0.115</v>
      </c>
      <c r="F299" s="430">
        <v>38.31</v>
      </c>
      <c r="G299" s="430">
        <v>4.41</v>
      </c>
    </row>
    <row r="300" spans="1:7" s="237" customFormat="1" ht="14.25">
      <c r="A300" s="420"/>
      <c r="B300" s="420"/>
      <c r="C300" s="420"/>
      <c r="D300" s="420"/>
      <c r="E300" s="513" t="s">
        <v>2084</v>
      </c>
      <c r="F300" s="513"/>
      <c r="G300" s="431">
        <v>234.32</v>
      </c>
    </row>
    <row r="301" spans="1:7" s="237" customFormat="1" ht="30">
      <c r="A301" s="512" t="s">
        <v>2085</v>
      </c>
      <c r="B301" s="512"/>
      <c r="C301" s="426" t="s">
        <v>2071</v>
      </c>
      <c r="D301" s="426" t="s">
        <v>2072</v>
      </c>
      <c r="E301" s="426" t="s">
        <v>2073</v>
      </c>
      <c r="F301" s="426" t="s">
        <v>2074</v>
      </c>
      <c r="G301" s="426" t="s">
        <v>2075</v>
      </c>
    </row>
    <row r="302" spans="1:7" s="237" customFormat="1" ht="28.5">
      <c r="A302" s="427" t="s">
        <v>2285</v>
      </c>
      <c r="B302" s="428" t="s">
        <v>2286</v>
      </c>
      <c r="C302" s="427" t="s">
        <v>1400</v>
      </c>
      <c r="D302" s="427" t="s">
        <v>2054</v>
      </c>
      <c r="E302" s="429">
        <v>6.9649999999999999</v>
      </c>
      <c r="F302" s="430">
        <v>29.02</v>
      </c>
      <c r="G302" s="430">
        <v>202.12</v>
      </c>
    </row>
    <row r="303" spans="1:7" s="237" customFormat="1" ht="14.25">
      <c r="A303" s="427" t="s">
        <v>2200</v>
      </c>
      <c r="B303" s="428" t="s">
        <v>2201</v>
      </c>
      <c r="C303" s="427" t="s">
        <v>1400</v>
      </c>
      <c r="D303" s="427" t="s">
        <v>2054</v>
      </c>
      <c r="E303" s="429">
        <v>8.4789999999999992</v>
      </c>
      <c r="F303" s="430">
        <v>35.53</v>
      </c>
      <c r="G303" s="430">
        <v>301.26</v>
      </c>
    </row>
    <row r="304" spans="1:7" s="237" customFormat="1" ht="14.25">
      <c r="A304" s="420"/>
      <c r="B304" s="420"/>
      <c r="C304" s="420"/>
      <c r="D304" s="420"/>
      <c r="E304" s="513" t="s">
        <v>2090</v>
      </c>
      <c r="F304" s="513"/>
      <c r="G304" s="431">
        <v>503.38</v>
      </c>
    </row>
    <row r="305" spans="1:7" s="237" customFormat="1" ht="30">
      <c r="A305" s="512" t="s">
        <v>2091</v>
      </c>
      <c r="B305" s="512"/>
      <c r="C305" s="426" t="s">
        <v>2071</v>
      </c>
      <c r="D305" s="426" t="s">
        <v>2072</v>
      </c>
      <c r="E305" s="426" t="s">
        <v>2073</v>
      </c>
      <c r="F305" s="426" t="s">
        <v>2074</v>
      </c>
      <c r="G305" s="426" t="s">
        <v>2075</v>
      </c>
    </row>
    <row r="306" spans="1:7" s="237" customFormat="1" ht="28.5">
      <c r="A306" s="427" t="s">
        <v>2287</v>
      </c>
      <c r="B306" s="428" t="s">
        <v>2288</v>
      </c>
      <c r="C306" s="427" t="s">
        <v>1400</v>
      </c>
      <c r="D306" s="427" t="s">
        <v>1422</v>
      </c>
      <c r="E306" s="429">
        <v>8.0000000000000002E-3</v>
      </c>
      <c r="F306" s="430">
        <v>640.79999999999995</v>
      </c>
      <c r="G306" s="430">
        <v>5.13</v>
      </c>
    </row>
    <row r="307" spans="1:7" s="237" customFormat="1" ht="14.25">
      <c r="A307" s="420"/>
      <c r="B307" s="420"/>
      <c r="C307" s="420"/>
      <c r="D307" s="420"/>
      <c r="E307" s="513" t="s">
        <v>2094</v>
      </c>
      <c r="F307" s="513"/>
      <c r="G307" s="431">
        <v>5.13</v>
      </c>
    </row>
    <row r="308" spans="1:7" s="237" customFormat="1">
      <c r="A308" s="420"/>
      <c r="B308" s="420"/>
      <c r="C308" s="420"/>
      <c r="D308" s="420"/>
      <c r="E308" s="483" t="s">
        <v>2095</v>
      </c>
      <c r="F308" s="483"/>
      <c r="G308" s="415">
        <v>742.83</v>
      </c>
    </row>
    <row r="309" spans="1:7" s="237" customFormat="1" ht="14.25">
      <c r="A309" s="420"/>
      <c r="B309" s="420"/>
      <c r="C309" s="514"/>
      <c r="D309" s="514"/>
      <c r="E309" s="420"/>
      <c r="F309" s="420"/>
      <c r="G309" s="420"/>
    </row>
    <row r="310" spans="1:7" s="237" customFormat="1">
      <c r="A310" s="515" t="s">
        <v>2289</v>
      </c>
      <c r="B310" s="515"/>
      <c r="C310" s="515"/>
      <c r="D310" s="515"/>
      <c r="E310" s="515"/>
      <c r="F310" s="515"/>
      <c r="G310" s="515"/>
    </row>
    <row r="311" spans="1:7" s="237" customFormat="1" ht="30">
      <c r="A311" s="512" t="s">
        <v>2070</v>
      </c>
      <c r="B311" s="512"/>
      <c r="C311" s="426" t="s">
        <v>2071</v>
      </c>
      <c r="D311" s="426" t="s">
        <v>2072</v>
      </c>
      <c r="E311" s="426" t="s">
        <v>2073</v>
      </c>
      <c r="F311" s="426" t="s">
        <v>2074</v>
      </c>
      <c r="G311" s="426" t="s">
        <v>2075</v>
      </c>
    </row>
    <row r="312" spans="1:7" s="237" customFormat="1" ht="14.25">
      <c r="A312" s="427" t="s">
        <v>2290</v>
      </c>
      <c r="B312" s="428" t="s">
        <v>2291</v>
      </c>
      <c r="C312" s="427" t="s">
        <v>1400</v>
      </c>
      <c r="D312" s="427" t="s">
        <v>2292</v>
      </c>
      <c r="E312" s="429">
        <v>0.04</v>
      </c>
      <c r="F312" s="430">
        <v>25.3</v>
      </c>
      <c r="G312" s="430">
        <v>1.01</v>
      </c>
    </row>
    <row r="313" spans="1:7" s="237" customFormat="1" ht="28.5">
      <c r="A313" s="427" t="s">
        <v>2293</v>
      </c>
      <c r="B313" s="428" t="s">
        <v>2294</v>
      </c>
      <c r="C313" s="427" t="s">
        <v>1400</v>
      </c>
      <c r="D313" s="427" t="s">
        <v>2292</v>
      </c>
      <c r="E313" s="429">
        <v>0.21199999999999999</v>
      </c>
      <c r="F313" s="430">
        <v>44.86</v>
      </c>
      <c r="G313" s="430">
        <v>9.51</v>
      </c>
    </row>
    <row r="314" spans="1:7" s="237" customFormat="1" ht="28.5">
      <c r="A314" s="427" t="s">
        <v>2184</v>
      </c>
      <c r="B314" s="428" t="s">
        <v>2185</v>
      </c>
      <c r="C314" s="427" t="s">
        <v>1400</v>
      </c>
      <c r="D314" s="427" t="s">
        <v>1403</v>
      </c>
      <c r="E314" s="429">
        <v>0.4</v>
      </c>
      <c r="F314" s="430">
        <v>1.54</v>
      </c>
      <c r="G314" s="430">
        <v>0.62</v>
      </c>
    </row>
    <row r="315" spans="1:7" s="237" customFormat="1" ht="14.25">
      <c r="A315" s="427" t="s">
        <v>2295</v>
      </c>
      <c r="B315" s="428" t="s">
        <v>2296</v>
      </c>
      <c r="C315" s="427" t="s">
        <v>1400</v>
      </c>
      <c r="D315" s="427" t="s">
        <v>2292</v>
      </c>
      <c r="E315" s="429">
        <v>0.16</v>
      </c>
      <c r="F315" s="430">
        <v>47.85</v>
      </c>
      <c r="G315" s="430">
        <v>7.66</v>
      </c>
    </row>
    <row r="316" spans="1:7" s="237" customFormat="1" ht="14.25">
      <c r="A316" s="420"/>
      <c r="B316" s="420"/>
      <c r="C316" s="420"/>
      <c r="D316" s="420"/>
      <c r="E316" s="513" t="s">
        <v>2084</v>
      </c>
      <c r="F316" s="513"/>
      <c r="G316" s="431">
        <v>18.8</v>
      </c>
    </row>
    <row r="317" spans="1:7" s="237" customFormat="1" ht="30">
      <c r="A317" s="512" t="s">
        <v>2085</v>
      </c>
      <c r="B317" s="512"/>
      <c r="C317" s="426" t="s">
        <v>2071</v>
      </c>
      <c r="D317" s="426" t="s">
        <v>2072</v>
      </c>
      <c r="E317" s="426" t="s">
        <v>2073</v>
      </c>
      <c r="F317" s="426" t="s">
        <v>2074</v>
      </c>
      <c r="G317" s="426" t="s">
        <v>2075</v>
      </c>
    </row>
    <row r="318" spans="1:7" s="237" customFormat="1" ht="14.25">
      <c r="A318" s="427" t="s">
        <v>2186</v>
      </c>
      <c r="B318" s="428" t="s">
        <v>2187</v>
      </c>
      <c r="C318" s="427" t="s">
        <v>1400</v>
      </c>
      <c r="D318" s="427" t="s">
        <v>2054</v>
      </c>
      <c r="E318" s="429">
        <v>0.4</v>
      </c>
      <c r="F318" s="430">
        <v>35.78</v>
      </c>
      <c r="G318" s="430">
        <v>14.31</v>
      </c>
    </row>
    <row r="319" spans="1:7" s="237" customFormat="1" ht="14.25">
      <c r="A319" s="427" t="s">
        <v>2088</v>
      </c>
      <c r="B319" s="428" t="s">
        <v>2089</v>
      </c>
      <c r="C319" s="427" t="s">
        <v>1400</v>
      </c>
      <c r="D319" s="427" t="s">
        <v>2054</v>
      </c>
      <c r="E319" s="429">
        <v>0.35</v>
      </c>
      <c r="F319" s="430">
        <v>27.47</v>
      </c>
      <c r="G319" s="430">
        <v>9.61</v>
      </c>
    </row>
    <row r="320" spans="1:7" s="237" customFormat="1" ht="14.25">
      <c r="A320" s="420"/>
      <c r="B320" s="420"/>
      <c r="C320" s="420"/>
      <c r="D320" s="420"/>
      <c r="E320" s="513" t="s">
        <v>2090</v>
      </c>
      <c r="F320" s="513"/>
      <c r="G320" s="431">
        <v>23.92</v>
      </c>
    </row>
    <row r="321" spans="1:7" s="237" customFormat="1">
      <c r="A321" s="420"/>
      <c r="B321" s="420"/>
      <c r="C321" s="420"/>
      <c r="D321" s="420"/>
      <c r="E321" s="483" t="s">
        <v>2095</v>
      </c>
      <c r="F321" s="483"/>
      <c r="G321" s="415">
        <v>42.72</v>
      </c>
    </row>
    <row r="322" spans="1:7" s="237" customFormat="1" ht="14.25">
      <c r="A322" s="420"/>
      <c r="B322" s="420"/>
      <c r="C322" s="514"/>
      <c r="D322" s="514"/>
      <c r="E322" s="420"/>
      <c r="F322" s="420"/>
      <c r="G322" s="420"/>
    </row>
    <row r="323" spans="1:7" s="237" customFormat="1">
      <c r="A323" s="515" t="s">
        <v>2297</v>
      </c>
      <c r="B323" s="515"/>
      <c r="C323" s="515"/>
      <c r="D323" s="515"/>
      <c r="E323" s="515"/>
      <c r="F323" s="515"/>
      <c r="G323" s="515"/>
    </row>
    <row r="324" spans="1:7" s="237" customFormat="1" ht="30">
      <c r="A324" s="512" t="s">
        <v>2070</v>
      </c>
      <c r="B324" s="512"/>
      <c r="C324" s="426" t="s">
        <v>2071</v>
      </c>
      <c r="D324" s="426" t="s">
        <v>2072</v>
      </c>
      <c r="E324" s="426" t="s">
        <v>2073</v>
      </c>
      <c r="F324" s="426" t="s">
        <v>2074</v>
      </c>
      <c r="G324" s="426" t="s">
        <v>2075</v>
      </c>
    </row>
    <row r="325" spans="1:7" s="237" customFormat="1" ht="14.25">
      <c r="A325" s="427" t="s">
        <v>2298</v>
      </c>
      <c r="B325" s="428" t="s">
        <v>2299</v>
      </c>
      <c r="C325" s="427" t="s">
        <v>1400</v>
      </c>
      <c r="D325" s="427" t="s">
        <v>2292</v>
      </c>
      <c r="E325" s="429">
        <v>0.33</v>
      </c>
      <c r="F325" s="430">
        <v>146.62</v>
      </c>
      <c r="G325" s="430">
        <v>48.38</v>
      </c>
    </row>
    <row r="326" spans="1:7" s="237" customFormat="1" ht="28.5">
      <c r="A326" s="427" t="s">
        <v>2300</v>
      </c>
      <c r="B326" s="428" t="s">
        <v>2301</v>
      </c>
      <c r="C326" s="427" t="s">
        <v>1400</v>
      </c>
      <c r="D326" s="427" t="s">
        <v>2292</v>
      </c>
      <c r="E326" s="429">
        <v>0.33</v>
      </c>
      <c r="F326" s="430">
        <v>35.450000000000003</v>
      </c>
      <c r="G326" s="430">
        <v>11.7</v>
      </c>
    </row>
    <row r="327" spans="1:7" s="237" customFormat="1" ht="14.25">
      <c r="A327" s="420"/>
      <c r="B327" s="420"/>
      <c r="C327" s="420"/>
      <c r="D327" s="420"/>
      <c r="E327" s="513" t="s">
        <v>2084</v>
      </c>
      <c r="F327" s="513"/>
      <c r="G327" s="431">
        <v>60.08</v>
      </c>
    </row>
    <row r="328" spans="1:7" s="237" customFormat="1" ht="30">
      <c r="A328" s="512" t="s">
        <v>2085</v>
      </c>
      <c r="B328" s="512"/>
      <c r="C328" s="426" t="s">
        <v>2071</v>
      </c>
      <c r="D328" s="426" t="s">
        <v>2072</v>
      </c>
      <c r="E328" s="426" t="s">
        <v>2073</v>
      </c>
      <c r="F328" s="426" t="s">
        <v>2074</v>
      </c>
      <c r="G328" s="426" t="s">
        <v>2075</v>
      </c>
    </row>
    <row r="329" spans="1:7" s="237" customFormat="1" ht="14.25">
      <c r="A329" s="427" t="s">
        <v>2186</v>
      </c>
      <c r="B329" s="428" t="s">
        <v>2187</v>
      </c>
      <c r="C329" s="427" t="s">
        <v>1400</v>
      </c>
      <c r="D329" s="427" t="s">
        <v>2054</v>
      </c>
      <c r="E329" s="429">
        <v>0.28050000000000003</v>
      </c>
      <c r="F329" s="430">
        <v>35.78</v>
      </c>
      <c r="G329" s="430">
        <v>10.039999999999999</v>
      </c>
    </row>
    <row r="330" spans="1:7" s="237" customFormat="1" ht="14.25">
      <c r="A330" s="427" t="s">
        <v>2088</v>
      </c>
      <c r="B330" s="428" t="s">
        <v>2089</v>
      </c>
      <c r="C330" s="427" t="s">
        <v>1400</v>
      </c>
      <c r="D330" s="427" t="s">
        <v>2054</v>
      </c>
      <c r="E330" s="429">
        <v>0.10349999999999999</v>
      </c>
      <c r="F330" s="430">
        <v>27.47</v>
      </c>
      <c r="G330" s="430">
        <v>2.84</v>
      </c>
    </row>
    <row r="331" spans="1:7" s="237" customFormat="1" ht="14.25">
      <c r="A331" s="420"/>
      <c r="B331" s="420"/>
      <c r="C331" s="420"/>
      <c r="D331" s="420"/>
      <c r="E331" s="513" t="s">
        <v>2090</v>
      </c>
      <c r="F331" s="513"/>
      <c r="G331" s="431">
        <v>12.88</v>
      </c>
    </row>
    <row r="332" spans="1:7" s="237" customFormat="1" ht="30">
      <c r="A332" s="512" t="s">
        <v>2091</v>
      </c>
      <c r="B332" s="512"/>
      <c r="C332" s="426" t="s">
        <v>2071</v>
      </c>
      <c r="D332" s="426" t="s">
        <v>2072</v>
      </c>
      <c r="E332" s="426" t="s">
        <v>2073</v>
      </c>
      <c r="F332" s="426" t="s">
        <v>2074</v>
      </c>
      <c r="G332" s="426" t="s">
        <v>2075</v>
      </c>
    </row>
    <row r="333" spans="1:7" s="237" customFormat="1" ht="28.5">
      <c r="A333" s="427" t="s">
        <v>2064</v>
      </c>
      <c r="B333" s="428" t="s">
        <v>2065</v>
      </c>
      <c r="C333" s="427" t="s">
        <v>1400</v>
      </c>
      <c r="D333" s="427" t="s">
        <v>1398</v>
      </c>
      <c r="E333" s="429">
        <v>1</v>
      </c>
      <c r="F333" s="430">
        <v>1.0900000000000001</v>
      </c>
      <c r="G333" s="430">
        <v>1.0900000000000001</v>
      </c>
    </row>
    <row r="334" spans="1:7" s="237" customFormat="1" ht="14.25">
      <c r="A334" s="420"/>
      <c r="B334" s="420"/>
      <c r="C334" s="420"/>
      <c r="D334" s="420"/>
      <c r="E334" s="513" t="s">
        <v>2094</v>
      </c>
      <c r="F334" s="513"/>
      <c r="G334" s="431">
        <v>1.0900000000000001</v>
      </c>
    </row>
    <row r="335" spans="1:7" s="237" customFormat="1">
      <c r="A335" s="420"/>
      <c r="B335" s="420"/>
      <c r="C335" s="420"/>
      <c r="D335" s="420"/>
      <c r="E335" s="483" t="s">
        <v>2095</v>
      </c>
      <c r="F335" s="483"/>
      <c r="G335" s="415">
        <v>74.05</v>
      </c>
    </row>
    <row r="336" spans="1:7" s="237" customFormat="1" ht="14.25">
      <c r="A336" s="420"/>
      <c r="B336" s="420"/>
      <c r="C336" s="514"/>
      <c r="D336" s="514"/>
      <c r="E336" s="420"/>
      <c r="F336" s="420"/>
      <c r="G336" s="420"/>
    </row>
    <row r="337" spans="1:7" s="237" customFormat="1" ht="33.75" customHeight="1">
      <c r="A337" s="515" t="s">
        <v>2302</v>
      </c>
      <c r="B337" s="515"/>
      <c r="C337" s="515"/>
      <c r="D337" s="515"/>
      <c r="E337" s="515"/>
      <c r="F337" s="515"/>
      <c r="G337" s="515"/>
    </row>
    <row r="338" spans="1:7" s="237" customFormat="1" ht="30">
      <c r="A338" s="512" t="s">
        <v>2070</v>
      </c>
      <c r="B338" s="512"/>
      <c r="C338" s="426" t="s">
        <v>2071</v>
      </c>
      <c r="D338" s="426" t="s">
        <v>2072</v>
      </c>
      <c r="E338" s="426" t="s">
        <v>2073</v>
      </c>
      <c r="F338" s="426" t="s">
        <v>2074</v>
      </c>
      <c r="G338" s="426" t="s">
        <v>2075</v>
      </c>
    </row>
    <row r="339" spans="1:7" s="237" customFormat="1" ht="28.5">
      <c r="A339" s="427" t="s">
        <v>2303</v>
      </c>
      <c r="B339" s="428" t="s">
        <v>2304</v>
      </c>
      <c r="C339" s="427" t="s">
        <v>1400</v>
      </c>
      <c r="D339" s="427" t="s">
        <v>1416</v>
      </c>
      <c r="E339" s="429">
        <v>1.0389999999999999</v>
      </c>
      <c r="F339" s="430">
        <v>23.24</v>
      </c>
      <c r="G339" s="430">
        <v>24.15</v>
      </c>
    </row>
    <row r="340" spans="1:7" s="237" customFormat="1" ht="14.25">
      <c r="A340" s="420"/>
      <c r="B340" s="420"/>
      <c r="C340" s="420"/>
      <c r="D340" s="420"/>
      <c r="E340" s="513" t="s">
        <v>2084</v>
      </c>
      <c r="F340" s="513"/>
      <c r="G340" s="431">
        <v>24.15</v>
      </c>
    </row>
    <row r="341" spans="1:7" s="237" customFormat="1" ht="30">
      <c r="A341" s="512" t="s">
        <v>2085</v>
      </c>
      <c r="B341" s="512"/>
      <c r="C341" s="426" t="s">
        <v>2071</v>
      </c>
      <c r="D341" s="426" t="s">
        <v>2072</v>
      </c>
      <c r="E341" s="426" t="s">
        <v>2073</v>
      </c>
      <c r="F341" s="426" t="s">
        <v>2074</v>
      </c>
      <c r="G341" s="426" t="s">
        <v>2075</v>
      </c>
    </row>
    <row r="342" spans="1:7" s="237" customFormat="1" ht="28.5">
      <c r="A342" s="427" t="s">
        <v>2305</v>
      </c>
      <c r="B342" s="428" t="s">
        <v>2306</v>
      </c>
      <c r="C342" s="427" t="s">
        <v>1400</v>
      </c>
      <c r="D342" s="427" t="s">
        <v>2054</v>
      </c>
      <c r="E342" s="429">
        <v>0.29699999999999999</v>
      </c>
      <c r="F342" s="430">
        <v>28.75</v>
      </c>
      <c r="G342" s="430">
        <v>8.5399999999999991</v>
      </c>
    </row>
    <row r="343" spans="1:7" s="237" customFormat="1" ht="28.5">
      <c r="A343" s="427" t="s">
        <v>2152</v>
      </c>
      <c r="B343" s="428" t="s">
        <v>2153</v>
      </c>
      <c r="C343" s="427" t="s">
        <v>1400</v>
      </c>
      <c r="D343" s="427" t="s">
        <v>2054</v>
      </c>
      <c r="E343" s="429">
        <v>0.29699999999999999</v>
      </c>
      <c r="F343" s="430">
        <v>35.380000000000003</v>
      </c>
      <c r="G343" s="430">
        <v>10.51</v>
      </c>
    </row>
    <row r="344" spans="1:7" s="237" customFormat="1" ht="14.25">
      <c r="A344" s="420"/>
      <c r="B344" s="420"/>
      <c r="C344" s="420"/>
      <c r="D344" s="420"/>
      <c r="E344" s="513" t="s">
        <v>2090</v>
      </c>
      <c r="F344" s="513"/>
      <c r="G344" s="431">
        <v>19.05</v>
      </c>
    </row>
    <row r="345" spans="1:7" s="237" customFormat="1">
      <c r="A345" s="420"/>
      <c r="B345" s="420"/>
      <c r="C345" s="420"/>
      <c r="D345" s="420"/>
      <c r="E345" s="483" t="s">
        <v>2095</v>
      </c>
      <c r="F345" s="483"/>
      <c r="G345" s="415">
        <v>43.2</v>
      </c>
    </row>
    <row r="346" spans="1:7" s="237" customFormat="1" ht="14.25">
      <c r="A346" s="420"/>
      <c r="B346" s="420"/>
      <c r="C346" s="514"/>
      <c r="D346" s="514"/>
      <c r="E346" s="420"/>
      <c r="F346" s="420"/>
      <c r="G346" s="420"/>
    </row>
    <row r="347" spans="1:7" s="237" customFormat="1" ht="32.25" customHeight="1">
      <c r="A347" s="515" t="s">
        <v>2307</v>
      </c>
      <c r="B347" s="515"/>
      <c r="C347" s="515"/>
      <c r="D347" s="515"/>
      <c r="E347" s="515"/>
      <c r="F347" s="515"/>
      <c r="G347" s="515"/>
    </row>
    <row r="348" spans="1:7" s="237" customFormat="1" ht="30">
      <c r="A348" s="512" t="s">
        <v>2070</v>
      </c>
      <c r="B348" s="512"/>
      <c r="C348" s="426" t="s">
        <v>2071</v>
      </c>
      <c r="D348" s="426" t="s">
        <v>2072</v>
      </c>
      <c r="E348" s="426" t="s">
        <v>2073</v>
      </c>
      <c r="F348" s="426" t="s">
        <v>2074</v>
      </c>
      <c r="G348" s="426" t="s">
        <v>2075</v>
      </c>
    </row>
    <row r="349" spans="1:7" s="237" customFormat="1" ht="28.5">
      <c r="A349" s="427" t="s">
        <v>2308</v>
      </c>
      <c r="B349" s="428" t="s">
        <v>2309</v>
      </c>
      <c r="C349" s="427" t="s">
        <v>1400</v>
      </c>
      <c r="D349" s="427" t="s">
        <v>1416</v>
      </c>
      <c r="E349" s="429">
        <v>1.0389999999999999</v>
      </c>
      <c r="F349" s="430">
        <v>34.49</v>
      </c>
      <c r="G349" s="430">
        <v>35.840000000000003</v>
      </c>
    </row>
    <row r="350" spans="1:7" s="237" customFormat="1" ht="14.25">
      <c r="A350" s="420"/>
      <c r="B350" s="420"/>
      <c r="C350" s="420"/>
      <c r="D350" s="420"/>
      <c r="E350" s="513" t="s">
        <v>2084</v>
      </c>
      <c r="F350" s="513"/>
      <c r="G350" s="431">
        <v>35.840000000000003</v>
      </c>
    </row>
    <row r="351" spans="1:7" s="237" customFormat="1" ht="30">
      <c r="A351" s="512" t="s">
        <v>2085</v>
      </c>
      <c r="B351" s="512"/>
      <c r="C351" s="426" t="s">
        <v>2071</v>
      </c>
      <c r="D351" s="426" t="s">
        <v>2072</v>
      </c>
      <c r="E351" s="426" t="s">
        <v>2073</v>
      </c>
      <c r="F351" s="426" t="s">
        <v>2074</v>
      </c>
      <c r="G351" s="426" t="s">
        <v>2075</v>
      </c>
    </row>
    <row r="352" spans="1:7" s="237" customFormat="1" ht="28.5">
      <c r="A352" s="427" t="s">
        <v>2305</v>
      </c>
      <c r="B352" s="428" t="s">
        <v>2306</v>
      </c>
      <c r="C352" s="427" t="s">
        <v>1400</v>
      </c>
      <c r="D352" s="427" t="s">
        <v>2054</v>
      </c>
      <c r="E352" s="429">
        <v>0.16300000000000001</v>
      </c>
      <c r="F352" s="430">
        <v>28.75</v>
      </c>
      <c r="G352" s="430">
        <v>4.6900000000000004</v>
      </c>
    </row>
    <row r="353" spans="1:7" s="237" customFormat="1" ht="28.5">
      <c r="A353" s="427" t="s">
        <v>2152</v>
      </c>
      <c r="B353" s="428" t="s">
        <v>2153</v>
      </c>
      <c r="C353" s="427" t="s">
        <v>1400</v>
      </c>
      <c r="D353" s="427" t="s">
        <v>2054</v>
      </c>
      <c r="E353" s="429">
        <v>0.16300000000000001</v>
      </c>
      <c r="F353" s="430">
        <v>35.380000000000003</v>
      </c>
      <c r="G353" s="430">
        <v>5.77</v>
      </c>
    </row>
    <row r="354" spans="1:7" s="237" customFormat="1" ht="14.25">
      <c r="A354" s="420"/>
      <c r="B354" s="420"/>
      <c r="C354" s="420"/>
      <c r="D354" s="420"/>
      <c r="E354" s="513" t="s">
        <v>2090</v>
      </c>
      <c r="F354" s="513"/>
      <c r="G354" s="431">
        <v>10.46</v>
      </c>
    </row>
    <row r="355" spans="1:7" s="237" customFormat="1">
      <c r="A355" s="420"/>
      <c r="B355" s="420"/>
      <c r="C355" s="420"/>
      <c r="D355" s="420"/>
      <c r="E355" s="483" t="s">
        <v>2095</v>
      </c>
      <c r="F355" s="483"/>
      <c r="G355" s="415">
        <v>46.3</v>
      </c>
    </row>
    <row r="356" spans="1:7" s="237" customFormat="1" ht="14.25">
      <c r="A356" s="420"/>
      <c r="B356" s="420"/>
      <c r="C356" s="514"/>
      <c r="D356" s="514"/>
      <c r="E356" s="420"/>
      <c r="F356" s="420"/>
      <c r="G356" s="420"/>
    </row>
    <row r="357" spans="1:7" s="237" customFormat="1" ht="33.75" customHeight="1">
      <c r="A357" s="515" t="s">
        <v>2310</v>
      </c>
      <c r="B357" s="515"/>
      <c r="C357" s="515"/>
      <c r="D357" s="515"/>
      <c r="E357" s="515"/>
      <c r="F357" s="515"/>
      <c r="G357" s="515"/>
    </row>
    <row r="358" spans="1:7" s="237" customFormat="1" ht="30">
      <c r="A358" s="512" t="s">
        <v>2070</v>
      </c>
      <c r="B358" s="512"/>
      <c r="C358" s="426" t="s">
        <v>2071</v>
      </c>
      <c r="D358" s="426" t="s">
        <v>2072</v>
      </c>
      <c r="E358" s="426" t="s">
        <v>2073</v>
      </c>
      <c r="F358" s="426" t="s">
        <v>2074</v>
      </c>
      <c r="G358" s="426" t="s">
        <v>2075</v>
      </c>
    </row>
    <row r="359" spans="1:7" s="237" customFormat="1" ht="14.25">
      <c r="A359" s="427" t="s">
        <v>2311</v>
      </c>
      <c r="B359" s="428" t="s">
        <v>2312</v>
      </c>
      <c r="C359" s="427" t="s">
        <v>1400</v>
      </c>
      <c r="D359" s="427" t="s">
        <v>1403</v>
      </c>
      <c r="E359" s="429">
        <v>1.6E-2</v>
      </c>
      <c r="F359" s="430">
        <v>12.54</v>
      </c>
      <c r="G359" s="430">
        <v>0.2</v>
      </c>
    </row>
    <row r="360" spans="1:7" s="237" customFormat="1" ht="28.5">
      <c r="A360" s="427" t="s">
        <v>2313</v>
      </c>
      <c r="B360" s="428" t="s">
        <v>2314</v>
      </c>
      <c r="C360" s="427" t="s">
        <v>1400</v>
      </c>
      <c r="D360" s="427" t="s">
        <v>2292</v>
      </c>
      <c r="E360" s="429">
        <v>4.0000000000000001E-3</v>
      </c>
      <c r="F360" s="430">
        <v>50.91</v>
      </c>
      <c r="G360" s="430">
        <v>0.2</v>
      </c>
    </row>
    <row r="361" spans="1:7" s="237" customFormat="1" ht="14.25">
      <c r="A361" s="427" t="s">
        <v>2315</v>
      </c>
      <c r="B361" s="428" t="s">
        <v>2316</v>
      </c>
      <c r="C361" s="427" t="s">
        <v>1400</v>
      </c>
      <c r="D361" s="427" t="s">
        <v>1403</v>
      </c>
      <c r="E361" s="429">
        <v>1</v>
      </c>
      <c r="F361" s="430">
        <v>14.74</v>
      </c>
      <c r="G361" s="430">
        <v>14.74</v>
      </c>
    </row>
    <row r="362" spans="1:7" s="237" customFormat="1" ht="14.25">
      <c r="A362" s="420"/>
      <c r="B362" s="420"/>
      <c r="C362" s="420"/>
      <c r="D362" s="420"/>
      <c r="E362" s="513" t="s">
        <v>2084</v>
      </c>
      <c r="F362" s="513"/>
      <c r="G362" s="431">
        <v>15.14</v>
      </c>
    </row>
    <row r="363" spans="1:7" s="237" customFormat="1" ht="30">
      <c r="A363" s="512" t="s">
        <v>2085</v>
      </c>
      <c r="B363" s="512"/>
      <c r="C363" s="426" t="s">
        <v>2071</v>
      </c>
      <c r="D363" s="426" t="s">
        <v>2072</v>
      </c>
      <c r="E363" s="426" t="s">
        <v>2073</v>
      </c>
      <c r="F363" s="426" t="s">
        <v>2074</v>
      </c>
      <c r="G363" s="426" t="s">
        <v>2075</v>
      </c>
    </row>
    <row r="364" spans="1:7" s="237" customFormat="1" ht="28.5">
      <c r="A364" s="427" t="s">
        <v>2305</v>
      </c>
      <c r="B364" s="428" t="s">
        <v>2306</v>
      </c>
      <c r="C364" s="427" t="s">
        <v>1400</v>
      </c>
      <c r="D364" s="427" t="s">
        <v>2054</v>
      </c>
      <c r="E364" s="429">
        <v>0.59299999999999997</v>
      </c>
      <c r="F364" s="430">
        <v>28.75</v>
      </c>
      <c r="G364" s="430">
        <v>17.05</v>
      </c>
    </row>
    <row r="365" spans="1:7" s="237" customFormat="1" ht="28.5">
      <c r="A365" s="427" t="s">
        <v>2152</v>
      </c>
      <c r="B365" s="428" t="s">
        <v>2153</v>
      </c>
      <c r="C365" s="427" t="s">
        <v>1400</v>
      </c>
      <c r="D365" s="427" t="s">
        <v>2054</v>
      </c>
      <c r="E365" s="429">
        <v>0.59299999999999997</v>
      </c>
      <c r="F365" s="430">
        <v>35.380000000000003</v>
      </c>
      <c r="G365" s="430">
        <v>20.98</v>
      </c>
    </row>
    <row r="366" spans="1:7" s="237" customFormat="1" ht="14.25">
      <c r="A366" s="420"/>
      <c r="B366" s="420"/>
      <c r="C366" s="420"/>
      <c r="D366" s="420"/>
      <c r="E366" s="513" t="s">
        <v>2090</v>
      </c>
      <c r="F366" s="513"/>
      <c r="G366" s="431">
        <v>38.03</v>
      </c>
    </row>
    <row r="367" spans="1:7" s="237" customFormat="1">
      <c r="A367" s="420"/>
      <c r="B367" s="420"/>
      <c r="C367" s="420"/>
      <c r="D367" s="420"/>
      <c r="E367" s="483" t="s">
        <v>2095</v>
      </c>
      <c r="F367" s="483"/>
      <c r="G367" s="415">
        <v>53.17</v>
      </c>
    </row>
    <row r="368" spans="1:7" s="237" customFormat="1" ht="14.25">
      <c r="A368" s="420"/>
      <c r="B368" s="420"/>
      <c r="C368" s="514"/>
      <c r="D368" s="514"/>
      <c r="E368" s="420"/>
      <c r="F368" s="420"/>
      <c r="G368" s="420"/>
    </row>
    <row r="369" spans="1:7" s="237" customFormat="1" ht="31.5" customHeight="1">
      <c r="A369" s="515" t="s">
        <v>2317</v>
      </c>
      <c r="B369" s="515"/>
      <c r="C369" s="515"/>
      <c r="D369" s="515"/>
      <c r="E369" s="515"/>
      <c r="F369" s="515"/>
      <c r="G369" s="515"/>
    </row>
    <row r="370" spans="1:7" s="237" customFormat="1" ht="30">
      <c r="A370" s="512" t="s">
        <v>2070</v>
      </c>
      <c r="B370" s="512"/>
      <c r="C370" s="426" t="s">
        <v>2071</v>
      </c>
      <c r="D370" s="426" t="s">
        <v>2072</v>
      </c>
      <c r="E370" s="426" t="s">
        <v>2073</v>
      </c>
      <c r="F370" s="426" t="s">
        <v>2074</v>
      </c>
      <c r="G370" s="426" t="s">
        <v>2075</v>
      </c>
    </row>
    <row r="371" spans="1:7" s="237" customFormat="1" ht="28.5">
      <c r="A371" s="427" t="s">
        <v>2318</v>
      </c>
      <c r="B371" s="428" t="s">
        <v>2319</v>
      </c>
      <c r="C371" s="427" t="s">
        <v>1400</v>
      </c>
      <c r="D371" s="427" t="s">
        <v>1403</v>
      </c>
      <c r="E371" s="429">
        <v>1</v>
      </c>
      <c r="F371" s="430">
        <v>11.39</v>
      </c>
      <c r="G371" s="430">
        <v>11.39</v>
      </c>
    </row>
    <row r="372" spans="1:7" s="237" customFormat="1" ht="14.25">
      <c r="A372" s="427" t="s">
        <v>2311</v>
      </c>
      <c r="B372" s="428" t="s">
        <v>2312</v>
      </c>
      <c r="C372" s="427" t="s">
        <v>1400</v>
      </c>
      <c r="D372" s="427" t="s">
        <v>1403</v>
      </c>
      <c r="E372" s="429">
        <v>2.7E-2</v>
      </c>
      <c r="F372" s="430">
        <v>12.54</v>
      </c>
      <c r="G372" s="430">
        <v>0.34</v>
      </c>
    </row>
    <row r="373" spans="1:7" s="237" customFormat="1" ht="28.5">
      <c r="A373" s="427" t="s">
        <v>2313</v>
      </c>
      <c r="B373" s="428" t="s">
        <v>2314</v>
      </c>
      <c r="C373" s="427" t="s">
        <v>1400</v>
      </c>
      <c r="D373" s="427" t="s">
        <v>2292</v>
      </c>
      <c r="E373" s="429">
        <v>3.0000000000000001E-3</v>
      </c>
      <c r="F373" s="430">
        <v>50.91</v>
      </c>
      <c r="G373" s="430">
        <v>0.15</v>
      </c>
    </row>
    <row r="374" spans="1:7" s="237" customFormat="1" ht="14.25">
      <c r="A374" s="420"/>
      <c r="B374" s="420"/>
      <c r="C374" s="420"/>
      <c r="D374" s="420"/>
      <c r="E374" s="513" t="s">
        <v>2084</v>
      </c>
      <c r="F374" s="513"/>
      <c r="G374" s="431">
        <v>11.88</v>
      </c>
    </row>
    <row r="375" spans="1:7" s="237" customFormat="1" ht="30">
      <c r="A375" s="512" t="s">
        <v>2085</v>
      </c>
      <c r="B375" s="512"/>
      <c r="C375" s="426" t="s">
        <v>2071</v>
      </c>
      <c r="D375" s="426" t="s">
        <v>2072</v>
      </c>
      <c r="E375" s="426" t="s">
        <v>2073</v>
      </c>
      <c r="F375" s="426" t="s">
        <v>2074</v>
      </c>
      <c r="G375" s="426" t="s">
        <v>2075</v>
      </c>
    </row>
    <row r="376" spans="1:7" s="237" customFormat="1" ht="28.5">
      <c r="A376" s="427" t="s">
        <v>2305</v>
      </c>
      <c r="B376" s="428" t="s">
        <v>2306</v>
      </c>
      <c r="C376" s="427" t="s">
        <v>1400</v>
      </c>
      <c r="D376" s="427" t="s">
        <v>2054</v>
      </c>
      <c r="E376" s="429">
        <v>0.52200000000000002</v>
      </c>
      <c r="F376" s="430">
        <v>28.75</v>
      </c>
      <c r="G376" s="430">
        <v>15.01</v>
      </c>
    </row>
    <row r="377" spans="1:7" s="237" customFormat="1" ht="28.5">
      <c r="A377" s="427" t="s">
        <v>2152</v>
      </c>
      <c r="B377" s="428" t="s">
        <v>2153</v>
      </c>
      <c r="C377" s="427" t="s">
        <v>1400</v>
      </c>
      <c r="D377" s="427" t="s">
        <v>2054</v>
      </c>
      <c r="E377" s="429">
        <v>0.52200000000000002</v>
      </c>
      <c r="F377" s="430">
        <v>35.380000000000003</v>
      </c>
      <c r="G377" s="430">
        <v>18.47</v>
      </c>
    </row>
    <row r="378" spans="1:7" s="237" customFormat="1" ht="14.25">
      <c r="A378" s="420"/>
      <c r="B378" s="420"/>
      <c r="C378" s="420"/>
      <c r="D378" s="420"/>
      <c r="E378" s="513" t="s">
        <v>2090</v>
      </c>
      <c r="F378" s="513"/>
      <c r="G378" s="431">
        <v>33.479999999999997</v>
      </c>
    </row>
    <row r="379" spans="1:7" s="237" customFormat="1">
      <c r="A379" s="420"/>
      <c r="B379" s="420"/>
      <c r="C379" s="420"/>
      <c r="D379" s="420"/>
      <c r="E379" s="483" t="s">
        <v>2095</v>
      </c>
      <c r="F379" s="483"/>
      <c r="G379" s="415">
        <v>45.36</v>
      </c>
    </row>
    <row r="380" spans="1:7" s="237" customFormat="1" ht="14.25">
      <c r="A380" s="420"/>
      <c r="B380" s="420"/>
      <c r="C380" s="514"/>
      <c r="D380" s="514"/>
      <c r="E380" s="420"/>
      <c r="F380" s="420"/>
      <c r="G380" s="420"/>
    </row>
    <row r="381" spans="1:7" s="237" customFormat="1" ht="30.75" customHeight="1">
      <c r="A381" s="515" t="s">
        <v>2320</v>
      </c>
      <c r="B381" s="515"/>
      <c r="C381" s="515"/>
      <c r="D381" s="515"/>
      <c r="E381" s="515"/>
      <c r="F381" s="515"/>
      <c r="G381" s="515"/>
    </row>
    <row r="382" spans="1:7" s="237" customFormat="1" ht="30">
      <c r="A382" s="512" t="s">
        <v>2070</v>
      </c>
      <c r="B382" s="512"/>
      <c r="C382" s="426" t="s">
        <v>2071</v>
      </c>
      <c r="D382" s="426" t="s">
        <v>2072</v>
      </c>
      <c r="E382" s="426" t="s">
        <v>2073</v>
      </c>
      <c r="F382" s="426" t="s">
        <v>2074</v>
      </c>
      <c r="G382" s="426" t="s">
        <v>2075</v>
      </c>
    </row>
    <row r="383" spans="1:7" s="237" customFormat="1" ht="28.5">
      <c r="A383" s="427" t="s">
        <v>2321</v>
      </c>
      <c r="B383" s="428" t="s">
        <v>2322</v>
      </c>
      <c r="C383" s="427" t="s">
        <v>1400</v>
      </c>
      <c r="D383" s="427" t="s">
        <v>1403</v>
      </c>
      <c r="E383" s="429">
        <v>1</v>
      </c>
      <c r="F383" s="430">
        <v>17.11</v>
      </c>
      <c r="G383" s="430">
        <v>17.11</v>
      </c>
    </row>
    <row r="384" spans="1:7" s="237" customFormat="1" ht="14.25">
      <c r="A384" s="427" t="s">
        <v>2311</v>
      </c>
      <c r="B384" s="428" t="s">
        <v>2312</v>
      </c>
      <c r="C384" s="427" t="s">
        <v>1400</v>
      </c>
      <c r="D384" s="427" t="s">
        <v>1403</v>
      </c>
      <c r="E384" s="429">
        <v>2.7E-2</v>
      </c>
      <c r="F384" s="430">
        <v>12.54</v>
      </c>
      <c r="G384" s="430">
        <v>0.34</v>
      </c>
    </row>
    <row r="385" spans="1:7" s="237" customFormat="1" ht="28.5">
      <c r="A385" s="427" t="s">
        <v>2313</v>
      </c>
      <c r="B385" s="428" t="s">
        <v>2314</v>
      </c>
      <c r="C385" s="427" t="s">
        <v>1400</v>
      </c>
      <c r="D385" s="427" t="s">
        <v>2292</v>
      </c>
      <c r="E385" s="429">
        <v>3.0000000000000001E-3</v>
      </c>
      <c r="F385" s="430">
        <v>50.91</v>
      </c>
      <c r="G385" s="430">
        <v>0.15</v>
      </c>
    </row>
    <row r="386" spans="1:7" s="237" customFormat="1" ht="14.25">
      <c r="A386" s="420"/>
      <c r="B386" s="420"/>
      <c r="C386" s="420"/>
      <c r="D386" s="420"/>
      <c r="E386" s="513" t="s">
        <v>2084</v>
      </c>
      <c r="F386" s="513"/>
      <c r="G386" s="431">
        <v>17.600000000000001</v>
      </c>
    </row>
    <row r="387" spans="1:7" s="237" customFormat="1" ht="30">
      <c r="A387" s="512" t="s">
        <v>2085</v>
      </c>
      <c r="B387" s="512"/>
      <c r="C387" s="426" t="s">
        <v>2071</v>
      </c>
      <c r="D387" s="426" t="s">
        <v>2072</v>
      </c>
      <c r="E387" s="426" t="s">
        <v>2073</v>
      </c>
      <c r="F387" s="426" t="s">
        <v>2074</v>
      </c>
      <c r="G387" s="426" t="s">
        <v>2075</v>
      </c>
    </row>
    <row r="388" spans="1:7" s="237" customFormat="1" ht="28.5">
      <c r="A388" s="427" t="s">
        <v>2305</v>
      </c>
      <c r="B388" s="428" t="s">
        <v>2306</v>
      </c>
      <c r="C388" s="427" t="s">
        <v>1400</v>
      </c>
      <c r="D388" s="427" t="s">
        <v>2054</v>
      </c>
      <c r="E388" s="429">
        <v>0.52200000000000002</v>
      </c>
      <c r="F388" s="430">
        <v>28.75</v>
      </c>
      <c r="G388" s="430">
        <v>15.01</v>
      </c>
    </row>
    <row r="389" spans="1:7" s="237" customFormat="1" ht="28.5">
      <c r="A389" s="427" t="s">
        <v>2152</v>
      </c>
      <c r="B389" s="428" t="s">
        <v>2153</v>
      </c>
      <c r="C389" s="427" t="s">
        <v>1400</v>
      </c>
      <c r="D389" s="427" t="s">
        <v>2054</v>
      </c>
      <c r="E389" s="429">
        <v>0.52200000000000002</v>
      </c>
      <c r="F389" s="430">
        <v>35.380000000000003</v>
      </c>
      <c r="G389" s="430">
        <v>18.47</v>
      </c>
    </row>
    <row r="390" spans="1:7" s="237" customFormat="1" ht="14.25">
      <c r="A390" s="420"/>
      <c r="B390" s="420"/>
      <c r="C390" s="420"/>
      <c r="D390" s="420"/>
      <c r="E390" s="513" t="s">
        <v>2090</v>
      </c>
      <c r="F390" s="513"/>
      <c r="G390" s="431">
        <v>33.479999999999997</v>
      </c>
    </row>
    <row r="391" spans="1:7" s="237" customFormat="1">
      <c r="A391" s="420"/>
      <c r="B391" s="420"/>
      <c r="C391" s="420"/>
      <c r="D391" s="420"/>
      <c r="E391" s="483" t="s">
        <v>2095</v>
      </c>
      <c r="F391" s="483"/>
      <c r="G391" s="415">
        <v>51.08</v>
      </c>
    </row>
    <row r="392" spans="1:7" s="237" customFormat="1" ht="14.25">
      <c r="A392" s="420"/>
      <c r="B392" s="420"/>
      <c r="C392" s="514"/>
      <c r="D392" s="514"/>
      <c r="E392" s="420"/>
      <c r="F392" s="420"/>
      <c r="G392" s="420"/>
    </row>
    <row r="393" spans="1:7" s="237" customFormat="1" ht="28.5" customHeight="1">
      <c r="A393" s="515" t="s">
        <v>2323</v>
      </c>
      <c r="B393" s="515"/>
      <c r="C393" s="515"/>
      <c r="D393" s="515"/>
      <c r="E393" s="515"/>
      <c r="F393" s="515"/>
      <c r="G393" s="515"/>
    </row>
    <row r="394" spans="1:7" s="237" customFormat="1" ht="30">
      <c r="A394" s="512" t="s">
        <v>2070</v>
      </c>
      <c r="B394" s="512"/>
      <c r="C394" s="426" t="s">
        <v>2071</v>
      </c>
      <c r="D394" s="426" t="s">
        <v>2072</v>
      </c>
      <c r="E394" s="426" t="s">
        <v>2073</v>
      </c>
      <c r="F394" s="426" t="s">
        <v>2074</v>
      </c>
      <c r="G394" s="426" t="s">
        <v>2075</v>
      </c>
    </row>
    <row r="395" spans="1:7" s="237" customFormat="1" ht="14.25">
      <c r="A395" s="427" t="s">
        <v>2311</v>
      </c>
      <c r="B395" s="428" t="s">
        <v>2312</v>
      </c>
      <c r="C395" s="427" t="s">
        <v>1400</v>
      </c>
      <c r="D395" s="427" t="s">
        <v>1403</v>
      </c>
      <c r="E395" s="429">
        <v>1.0999999999999999E-2</v>
      </c>
      <c r="F395" s="430">
        <v>12.54</v>
      </c>
      <c r="G395" s="430">
        <v>0.14000000000000001</v>
      </c>
    </row>
    <row r="396" spans="1:7" s="237" customFormat="1" ht="28.5">
      <c r="A396" s="427" t="s">
        <v>2313</v>
      </c>
      <c r="B396" s="428" t="s">
        <v>2314</v>
      </c>
      <c r="C396" s="427" t="s">
        <v>1400</v>
      </c>
      <c r="D396" s="427" t="s">
        <v>2292</v>
      </c>
      <c r="E396" s="429">
        <v>3.0000000000000001E-3</v>
      </c>
      <c r="F396" s="430">
        <v>50.91</v>
      </c>
      <c r="G396" s="430">
        <v>0.15</v>
      </c>
    </row>
    <row r="397" spans="1:7" s="237" customFormat="1" ht="28.5">
      <c r="A397" s="427" t="s">
        <v>2324</v>
      </c>
      <c r="B397" s="428" t="s">
        <v>2325</v>
      </c>
      <c r="C397" s="427" t="s">
        <v>1400</v>
      </c>
      <c r="D397" s="427" t="s">
        <v>1403</v>
      </c>
      <c r="E397" s="429">
        <v>1</v>
      </c>
      <c r="F397" s="430">
        <v>35.32</v>
      </c>
      <c r="G397" s="430">
        <v>35.32</v>
      </c>
    </row>
    <row r="398" spans="1:7" s="237" customFormat="1" ht="14.25">
      <c r="A398" s="420"/>
      <c r="B398" s="420"/>
      <c r="C398" s="420"/>
      <c r="D398" s="420"/>
      <c r="E398" s="513" t="s">
        <v>2084</v>
      </c>
      <c r="F398" s="513"/>
      <c r="G398" s="431">
        <v>35.61</v>
      </c>
    </row>
    <row r="399" spans="1:7" s="237" customFormat="1" ht="30">
      <c r="A399" s="512" t="s">
        <v>2085</v>
      </c>
      <c r="B399" s="512"/>
      <c r="C399" s="426" t="s">
        <v>2071</v>
      </c>
      <c r="D399" s="426" t="s">
        <v>2072</v>
      </c>
      <c r="E399" s="426" t="s">
        <v>2073</v>
      </c>
      <c r="F399" s="426" t="s">
        <v>2074</v>
      </c>
      <c r="G399" s="426" t="s">
        <v>2075</v>
      </c>
    </row>
    <row r="400" spans="1:7" s="237" customFormat="1" ht="28.5">
      <c r="A400" s="427" t="s">
        <v>2305</v>
      </c>
      <c r="B400" s="428" t="s">
        <v>2306</v>
      </c>
      <c r="C400" s="427" t="s">
        <v>1400</v>
      </c>
      <c r="D400" s="427" t="s">
        <v>2054</v>
      </c>
      <c r="E400" s="429">
        <v>0.29699999999999999</v>
      </c>
      <c r="F400" s="430">
        <v>28.75</v>
      </c>
      <c r="G400" s="430">
        <v>8.5399999999999991</v>
      </c>
    </row>
    <row r="401" spans="1:7" s="237" customFormat="1" ht="28.5">
      <c r="A401" s="427" t="s">
        <v>2152</v>
      </c>
      <c r="B401" s="428" t="s">
        <v>2153</v>
      </c>
      <c r="C401" s="427" t="s">
        <v>1400</v>
      </c>
      <c r="D401" s="427" t="s">
        <v>2054</v>
      </c>
      <c r="E401" s="429">
        <v>0.29699999999999999</v>
      </c>
      <c r="F401" s="430">
        <v>35.380000000000003</v>
      </c>
      <c r="G401" s="430">
        <v>10.51</v>
      </c>
    </row>
    <row r="402" spans="1:7" s="237" customFormat="1" ht="14.25">
      <c r="A402" s="420"/>
      <c r="B402" s="420"/>
      <c r="C402" s="420"/>
      <c r="D402" s="420"/>
      <c r="E402" s="513" t="s">
        <v>2090</v>
      </c>
      <c r="F402" s="513"/>
      <c r="G402" s="431">
        <v>19.05</v>
      </c>
    </row>
    <row r="403" spans="1:7" s="237" customFormat="1">
      <c r="A403" s="420"/>
      <c r="B403" s="420"/>
      <c r="C403" s="420"/>
      <c r="D403" s="420"/>
      <c r="E403" s="483" t="s">
        <v>2095</v>
      </c>
      <c r="F403" s="483"/>
      <c r="G403" s="415">
        <v>54.66</v>
      </c>
    </row>
    <row r="404" spans="1:7" s="237" customFormat="1" ht="14.25">
      <c r="A404" s="420"/>
      <c r="B404" s="420"/>
      <c r="C404" s="514"/>
      <c r="D404" s="514"/>
      <c r="E404" s="420"/>
      <c r="F404" s="420"/>
      <c r="G404" s="420"/>
    </row>
    <row r="405" spans="1:7" s="237" customFormat="1" ht="36" customHeight="1">
      <c r="A405" s="515" t="s">
        <v>2326</v>
      </c>
      <c r="B405" s="515"/>
      <c r="C405" s="515"/>
      <c r="D405" s="515"/>
      <c r="E405" s="515"/>
      <c r="F405" s="515"/>
      <c r="G405" s="515"/>
    </row>
    <row r="406" spans="1:7" s="237" customFormat="1" ht="30">
      <c r="A406" s="512" t="s">
        <v>2070</v>
      </c>
      <c r="B406" s="512"/>
      <c r="C406" s="426" t="s">
        <v>2071</v>
      </c>
      <c r="D406" s="426" t="s">
        <v>2072</v>
      </c>
      <c r="E406" s="426" t="s">
        <v>2073</v>
      </c>
      <c r="F406" s="426" t="s">
        <v>2074</v>
      </c>
      <c r="G406" s="426" t="s">
        <v>2075</v>
      </c>
    </row>
    <row r="407" spans="1:7" s="237" customFormat="1" ht="14.25">
      <c r="A407" s="427" t="s">
        <v>2327</v>
      </c>
      <c r="B407" s="428" t="s">
        <v>2328</v>
      </c>
      <c r="C407" s="427" t="s">
        <v>1400</v>
      </c>
      <c r="D407" s="427" t="s">
        <v>1403</v>
      </c>
      <c r="E407" s="429">
        <v>8.9999999999999993E-3</v>
      </c>
      <c r="F407" s="430">
        <v>66.94</v>
      </c>
      <c r="G407" s="430">
        <v>0.6</v>
      </c>
    </row>
    <row r="408" spans="1:7" s="237" customFormat="1" ht="28.5">
      <c r="A408" s="427" t="s">
        <v>2329</v>
      </c>
      <c r="B408" s="428" t="s">
        <v>2330</v>
      </c>
      <c r="C408" s="427" t="s">
        <v>1400</v>
      </c>
      <c r="D408" s="427" t="s">
        <v>1403</v>
      </c>
      <c r="E408" s="429">
        <v>1</v>
      </c>
      <c r="F408" s="430">
        <v>7.65</v>
      </c>
      <c r="G408" s="430">
        <v>7.65</v>
      </c>
    </row>
    <row r="409" spans="1:7" s="237" customFormat="1" ht="14.25">
      <c r="A409" s="427" t="s">
        <v>2331</v>
      </c>
      <c r="B409" s="428" t="s">
        <v>2332</v>
      </c>
      <c r="C409" s="427" t="s">
        <v>1400</v>
      </c>
      <c r="D409" s="427" t="s">
        <v>1403</v>
      </c>
      <c r="E409" s="429">
        <v>0.06</v>
      </c>
      <c r="F409" s="430">
        <v>2.13</v>
      </c>
      <c r="G409" s="430">
        <v>0.13</v>
      </c>
    </row>
    <row r="410" spans="1:7" s="237" customFormat="1" ht="28.5">
      <c r="A410" s="427" t="s">
        <v>2333</v>
      </c>
      <c r="B410" s="428" t="s">
        <v>2334</v>
      </c>
      <c r="C410" s="427" t="s">
        <v>1400</v>
      </c>
      <c r="D410" s="427" t="s">
        <v>1403</v>
      </c>
      <c r="E410" s="429">
        <v>1.0999999999999999E-2</v>
      </c>
      <c r="F410" s="430">
        <v>75.84</v>
      </c>
      <c r="G410" s="430">
        <v>0.83</v>
      </c>
    </row>
    <row r="411" spans="1:7" s="237" customFormat="1" ht="14.25">
      <c r="A411" s="420"/>
      <c r="B411" s="420"/>
      <c r="C411" s="420"/>
      <c r="D411" s="420"/>
      <c r="E411" s="513" t="s">
        <v>2084</v>
      </c>
      <c r="F411" s="513"/>
      <c r="G411" s="431">
        <v>9.2100000000000009</v>
      </c>
    </row>
    <row r="412" spans="1:7" s="237" customFormat="1" ht="30">
      <c r="A412" s="512" t="s">
        <v>2085</v>
      </c>
      <c r="B412" s="512"/>
      <c r="C412" s="426" t="s">
        <v>2071</v>
      </c>
      <c r="D412" s="426" t="s">
        <v>2072</v>
      </c>
      <c r="E412" s="426" t="s">
        <v>2073</v>
      </c>
      <c r="F412" s="426" t="s">
        <v>2074</v>
      </c>
      <c r="G412" s="426" t="s">
        <v>2075</v>
      </c>
    </row>
    <row r="413" spans="1:7" s="237" customFormat="1" ht="28.5">
      <c r="A413" s="427" t="s">
        <v>2305</v>
      </c>
      <c r="B413" s="428" t="s">
        <v>2306</v>
      </c>
      <c r="C413" s="427" t="s">
        <v>1400</v>
      </c>
      <c r="D413" s="427" t="s">
        <v>2054</v>
      </c>
      <c r="E413" s="429">
        <v>0.11899999999999999</v>
      </c>
      <c r="F413" s="430">
        <v>28.75</v>
      </c>
      <c r="G413" s="430">
        <v>3.42</v>
      </c>
    </row>
    <row r="414" spans="1:7" s="237" customFormat="1" ht="28.5">
      <c r="A414" s="427" t="s">
        <v>2152</v>
      </c>
      <c r="B414" s="428" t="s">
        <v>2153</v>
      </c>
      <c r="C414" s="427" t="s">
        <v>1400</v>
      </c>
      <c r="D414" s="427" t="s">
        <v>2054</v>
      </c>
      <c r="E414" s="429">
        <v>0.11899999999999999</v>
      </c>
      <c r="F414" s="430">
        <v>35.380000000000003</v>
      </c>
      <c r="G414" s="430">
        <v>4.21</v>
      </c>
    </row>
    <row r="415" spans="1:7" s="237" customFormat="1" ht="14.25">
      <c r="A415" s="420"/>
      <c r="B415" s="420"/>
      <c r="C415" s="420"/>
      <c r="D415" s="420"/>
      <c r="E415" s="513" t="s">
        <v>2090</v>
      </c>
      <c r="F415" s="513"/>
      <c r="G415" s="431">
        <v>7.63</v>
      </c>
    </row>
    <row r="416" spans="1:7" s="237" customFormat="1">
      <c r="A416" s="420"/>
      <c r="B416" s="420"/>
      <c r="C416" s="420"/>
      <c r="D416" s="420"/>
      <c r="E416" s="483" t="s">
        <v>2095</v>
      </c>
      <c r="F416" s="483"/>
      <c r="G416" s="415">
        <v>16.84</v>
      </c>
    </row>
    <row r="417" spans="1:7" s="237" customFormat="1" ht="14.25">
      <c r="A417" s="420"/>
      <c r="B417" s="420"/>
      <c r="C417" s="514"/>
      <c r="D417" s="514"/>
      <c r="E417" s="420"/>
      <c r="F417" s="420"/>
      <c r="G417" s="420"/>
    </row>
    <row r="418" spans="1:7" s="237" customFormat="1" ht="33" customHeight="1">
      <c r="A418" s="515" t="s">
        <v>2335</v>
      </c>
      <c r="B418" s="515"/>
      <c r="C418" s="515"/>
      <c r="D418" s="515"/>
      <c r="E418" s="515"/>
      <c r="F418" s="515"/>
      <c r="G418" s="515"/>
    </row>
    <row r="419" spans="1:7" s="237" customFormat="1" ht="30">
      <c r="A419" s="512" t="s">
        <v>2070</v>
      </c>
      <c r="B419" s="512"/>
      <c r="C419" s="426" t="s">
        <v>2071</v>
      </c>
      <c r="D419" s="426" t="s">
        <v>2072</v>
      </c>
      <c r="E419" s="426" t="s">
        <v>2073</v>
      </c>
      <c r="F419" s="426" t="s">
        <v>2074</v>
      </c>
      <c r="G419" s="426" t="s">
        <v>2075</v>
      </c>
    </row>
    <row r="420" spans="1:7" s="237" customFormat="1" ht="14.25">
      <c r="A420" s="427" t="s">
        <v>2311</v>
      </c>
      <c r="B420" s="428" t="s">
        <v>2312</v>
      </c>
      <c r="C420" s="427" t="s">
        <v>1400</v>
      </c>
      <c r="D420" s="427" t="s">
        <v>1403</v>
      </c>
      <c r="E420" s="429">
        <v>1.0999999999999999E-2</v>
      </c>
      <c r="F420" s="430">
        <v>12.54</v>
      </c>
      <c r="G420" s="430">
        <v>0.14000000000000001</v>
      </c>
    </row>
    <row r="421" spans="1:7" s="237" customFormat="1" ht="28.5">
      <c r="A421" s="427" t="s">
        <v>2313</v>
      </c>
      <c r="B421" s="428" t="s">
        <v>2314</v>
      </c>
      <c r="C421" s="427" t="s">
        <v>1400</v>
      </c>
      <c r="D421" s="427" t="s">
        <v>2292</v>
      </c>
      <c r="E421" s="429">
        <v>3.0000000000000001E-3</v>
      </c>
      <c r="F421" s="430">
        <v>50.91</v>
      </c>
      <c r="G421" s="430">
        <v>0.15</v>
      </c>
    </row>
    <row r="422" spans="1:7" s="237" customFormat="1" ht="14.25">
      <c r="A422" s="427" t="s">
        <v>2336</v>
      </c>
      <c r="B422" s="428" t="s">
        <v>2337</v>
      </c>
      <c r="C422" s="427" t="s">
        <v>1400</v>
      </c>
      <c r="D422" s="427" t="s">
        <v>1403</v>
      </c>
      <c r="E422" s="429">
        <v>1</v>
      </c>
      <c r="F422" s="430">
        <v>8.6</v>
      </c>
      <c r="G422" s="430">
        <v>8.6</v>
      </c>
    </row>
    <row r="423" spans="1:7" s="237" customFormat="1" ht="14.25">
      <c r="A423" s="420"/>
      <c r="B423" s="420"/>
      <c r="C423" s="420"/>
      <c r="D423" s="420"/>
      <c r="E423" s="513" t="s">
        <v>2084</v>
      </c>
      <c r="F423" s="513"/>
      <c r="G423" s="431">
        <v>8.89</v>
      </c>
    </row>
    <row r="424" spans="1:7" s="237" customFormat="1" ht="30">
      <c r="A424" s="512" t="s">
        <v>2085</v>
      </c>
      <c r="B424" s="512"/>
      <c r="C424" s="426" t="s">
        <v>2071</v>
      </c>
      <c r="D424" s="426" t="s">
        <v>2072</v>
      </c>
      <c r="E424" s="426" t="s">
        <v>2073</v>
      </c>
      <c r="F424" s="426" t="s">
        <v>2074</v>
      </c>
      <c r="G424" s="426" t="s">
        <v>2075</v>
      </c>
    </row>
    <row r="425" spans="1:7" s="237" customFormat="1" ht="28.5">
      <c r="A425" s="427" t="s">
        <v>2305</v>
      </c>
      <c r="B425" s="428" t="s">
        <v>2306</v>
      </c>
      <c r="C425" s="427" t="s">
        <v>1400</v>
      </c>
      <c r="D425" s="427" t="s">
        <v>2054</v>
      </c>
      <c r="E425" s="429">
        <v>0.29699999999999999</v>
      </c>
      <c r="F425" s="430">
        <v>28.75</v>
      </c>
      <c r="G425" s="430">
        <v>8.5399999999999991</v>
      </c>
    </row>
    <row r="426" spans="1:7" s="237" customFormat="1" ht="28.5">
      <c r="A426" s="427" t="s">
        <v>2152</v>
      </c>
      <c r="B426" s="428" t="s">
        <v>2153</v>
      </c>
      <c r="C426" s="427" t="s">
        <v>1400</v>
      </c>
      <c r="D426" s="427" t="s">
        <v>2054</v>
      </c>
      <c r="E426" s="429">
        <v>0.29699999999999999</v>
      </c>
      <c r="F426" s="430">
        <v>35.380000000000003</v>
      </c>
      <c r="G426" s="430">
        <v>10.51</v>
      </c>
    </row>
    <row r="427" spans="1:7" s="237" customFormat="1" ht="14.25">
      <c r="A427" s="420"/>
      <c r="B427" s="420"/>
      <c r="C427" s="420"/>
      <c r="D427" s="420"/>
      <c r="E427" s="513" t="s">
        <v>2090</v>
      </c>
      <c r="F427" s="513"/>
      <c r="G427" s="431">
        <v>19.05</v>
      </c>
    </row>
    <row r="428" spans="1:7" s="237" customFormat="1">
      <c r="A428" s="420"/>
      <c r="B428" s="420"/>
      <c r="C428" s="420"/>
      <c r="D428" s="420"/>
      <c r="E428" s="483" t="s">
        <v>2095</v>
      </c>
      <c r="F428" s="483"/>
      <c r="G428" s="415">
        <v>27.94</v>
      </c>
    </row>
    <row r="429" spans="1:7" s="237" customFormat="1" ht="14.25">
      <c r="A429" s="420"/>
      <c r="B429" s="420"/>
      <c r="C429" s="514"/>
      <c r="D429" s="514"/>
      <c r="E429" s="420"/>
      <c r="F429" s="420"/>
      <c r="G429" s="420"/>
    </row>
    <row r="430" spans="1:7" s="237" customFormat="1" ht="30.75" customHeight="1">
      <c r="A430" s="515" t="s">
        <v>2338</v>
      </c>
      <c r="B430" s="515"/>
      <c r="C430" s="515"/>
      <c r="D430" s="515"/>
      <c r="E430" s="515"/>
      <c r="F430" s="515"/>
      <c r="G430" s="515"/>
    </row>
    <row r="431" spans="1:7" s="237" customFormat="1" ht="30">
      <c r="A431" s="512" t="s">
        <v>2070</v>
      </c>
      <c r="B431" s="512"/>
      <c r="C431" s="426" t="s">
        <v>2071</v>
      </c>
      <c r="D431" s="426" t="s">
        <v>2072</v>
      </c>
      <c r="E431" s="426" t="s">
        <v>2073</v>
      </c>
      <c r="F431" s="426" t="s">
        <v>2074</v>
      </c>
      <c r="G431" s="426" t="s">
        <v>2075</v>
      </c>
    </row>
    <row r="432" spans="1:7" s="237" customFormat="1" ht="28.5">
      <c r="A432" s="427" t="s">
        <v>2339</v>
      </c>
      <c r="B432" s="428" t="s">
        <v>2340</v>
      </c>
      <c r="C432" s="427" t="s">
        <v>1400</v>
      </c>
      <c r="D432" s="427" t="s">
        <v>1403</v>
      </c>
      <c r="E432" s="429">
        <v>3</v>
      </c>
      <c r="F432" s="430">
        <v>1.98</v>
      </c>
      <c r="G432" s="430">
        <v>5.94</v>
      </c>
    </row>
    <row r="433" spans="1:7" s="237" customFormat="1" ht="28.5">
      <c r="A433" s="427" t="s">
        <v>2341</v>
      </c>
      <c r="B433" s="428" t="s">
        <v>2342</v>
      </c>
      <c r="C433" s="427" t="s">
        <v>1400</v>
      </c>
      <c r="D433" s="427" t="s">
        <v>1403</v>
      </c>
      <c r="E433" s="429">
        <v>1</v>
      </c>
      <c r="F433" s="430">
        <v>3.93</v>
      </c>
      <c r="G433" s="430">
        <v>3.93</v>
      </c>
    </row>
    <row r="434" spans="1:7" s="237" customFormat="1" ht="42.75">
      <c r="A434" s="427" t="s">
        <v>2343</v>
      </c>
      <c r="B434" s="428" t="s">
        <v>2344</v>
      </c>
      <c r="C434" s="427" t="s">
        <v>1400</v>
      </c>
      <c r="D434" s="427" t="s">
        <v>1403</v>
      </c>
      <c r="E434" s="429">
        <v>7.4999999999999997E-2</v>
      </c>
      <c r="F434" s="430">
        <v>27.62</v>
      </c>
      <c r="G434" s="430">
        <v>2.0699999999999998</v>
      </c>
    </row>
    <row r="435" spans="1:7" s="237" customFormat="1" ht="14.25">
      <c r="A435" s="420"/>
      <c r="B435" s="420"/>
      <c r="C435" s="420"/>
      <c r="D435" s="420"/>
      <c r="E435" s="513" t="s">
        <v>2084</v>
      </c>
      <c r="F435" s="513"/>
      <c r="G435" s="431">
        <v>11.94</v>
      </c>
    </row>
    <row r="436" spans="1:7" s="237" customFormat="1" ht="30">
      <c r="A436" s="512" t="s">
        <v>2085</v>
      </c>
      <c r="B436" s="512"/>
      <c r="C436" s="426" t="s">
        <v>2071</v>
      </c>
      <c r="D436" s="426" t="s">
        <v>2072</v>
      </c>
      <c r="E436" s="426" t="s">
        <v>2073</v>
      </c>
      <c r="F436" s="426" t="s">
        <v>2074</v>
      </c>
      <c r="G436" s="426" t="s">
        <v>2075</v>
      </c>
    </row>
    <row r="437" spans="1:7" s="237" customFormat="1" ht="28.5">
      <c r="A437" s="427" t="s">
        <v>2305</v>
      </c>
      <c r="B437" s="428" t="s">
        <v>2306</v>
      </c>
      <c r="C437" s="427" t="s">
        <v>1400</v>
      </c>
      <c r="D437" s="427" t="s">
        <v>2054</v>
      </c>
      <c r="E437" s="429">
        <v>0.18390000000000001</v>
      </c>
      <c r="F437" s="430">
        <v>28.75</v>
      </c>
      <c r="G437" s="430">
        <v>5.29</v>
      </c>
    </row>
    <row r="438" spans="1:7" s="237" customFormat="1" ht="28.5">
      <c r="A438" s="427" t="s">
        <v>2152</v>
      </c>
      <c r="B438" s="428" t="s">
        <v>2153</v>
      </c>
      <c r="C438" s="427" t="s">
        <v>1400</v>
      </c>
      <c r="D438" s="427" t="s">
        <v>2054</v>
      </c>
      <c r="E438" s="429">
        <v>0.18390000000000001</v>
      </c>
      <c r="F438" s="430">
        <v>35.380000000000003</v>
      </c>
      <c r="G438" s="430">
        <v>6.51</v>
      </c>
    </row>
    <row r="439" spans="1:7" s="237" customFormat="1" ht="14.25">
      <c r="A439" s="420"/>
      <c r="B439" s="420"/>
      <c r="C439" s="420"/>
      <c r="D439" s="420"/>
      <c r="E439" s="513" t="s">
        <v>2090</v>
      </c>
      <c r="F439" s="513"/>
      <c r="G439" s="431">
        <v>11.8</v>
      </c>
    </row>
    <row r="440" spans="1:7" s="237" customFormat="1">
      <c r="A440" s="420"/>
      <c r="B440" s="420"/>
      <c r="C440" s="420"/>
      <c r="D440" s="420"/>
      <c r="E440" s="483" t="s">
        <v>2095</v>
      </c>
      <c r="F440" s="483"/>
      <c r="G440" s="415">
        <v>23.74</v>
      </c>
    </row>
    <row r="441" spans="1:7" s="237" customFormat="1" ht="14.25">
      <c r="A441" s="420"/>
      <c r="B441" s="420"/>
      <c r="C441" s="514"/>
      <c r="D441" s="514"/>
      <c r="E441" s="420"/>
      <c r="F441" s="420"/>
      <c r="G441" s="420"/>
    </row>
    <row r="442" spans="1:7" s="237" customFormat="1" ht="29.25" customHeight="1">
      <c r="A442" s="515" t="s">
        <v>2345</v>
      </c>
      <c r="B442" s="515"/>
      <c r="C442" s="515"/>
      <c r="D442" s="515"/>
      <c r="E442" s="515"/>
      <c r="F442" s="515"/>
      <c r="G442" s="515"/>
    </row>
    <row r="443" spans="1:7" s="237" customFormat="1" ht="30">
      <c r="A443" s="512" t="s">
        <v>2070</v>
      </c>
      <c r="B443" s="512"/>
      <c r="C443" s="426" t="s">
        <v>2071</v>
      </c>
      <c r="D443" s="426" t="s">
        <v>2072</v>
      </c>
      <c r="E443" s="426" t="s">
        <v>2073</v>
      </c>
      <c r="F443" s="426" t="s">
        <v>2074</v>
      </c>
      <c r="G443" s="426" t="s">
        <v>2075</v>
      </c>
    </row>
    <row r="444" spans="1:7" s="237" customFormat="1" ht="28.5">
      <c r="A444" s="427" t="s">
        <v>2346</v>
      </c>
      <c r="B444" s="428" t="s">
        <v>2347</v>
      </c>
      <c r="C444" s="427" t="s">
        <v>1400</v>
      </c>
      <c r="D444" s="427" t="s">
        <v>1403</v>
      </c>
      <c r="E444" s="429">
        <v>3</v>
      </c>
      <c r="F444" s="430">
        <v>3.5</v>
      </c>
      <c r="G444" s="430">
        <v>10.5</v>
      </c>
    </row>
    <row r="445" spans="1:7" s="237" customFormat="1" ht="28.5">
      <c r="A445" s="427" t="s">
        <v>2348</v>
      </c>
      <c r="B445" s="428" t="s">
        <v>2349</v>
      </c>
      <c r="C445" s="427" t="s">
        <v>1400</v>
      </c>
      <c r="D445" s="427" t="s">
        <v>1403</v>
      </c>
      <c r="E445" s="429">
        <v>1</v>
      </c>
      <c r="F445" s="430">
        <v>19.46</v>
      </c>
      <c r="G445" s="430">
        <v>19.46</v>
      </c>
    </row>
    <row r="446" spans="1:7" s="237" customFormat="1" ht="42.75">
      <c r="A446" s="427" t="s">
        <v>2343</v>
      </c>
      <c r="B446" s="428" t="s">
        <v>2344</v>
      </c>
      <c r="C446" s="427" t="s">
        <v>1400</v>
      </c>
      <c r="D446" s="427" t="s">
        <v>1403</v>
      </c>
      <c r="E446" s="429">
        <v>0.17249999999999999</v>
      </c>
      <c r="F446" s="430">
        <v>27.62</v>
      </c>
      <c r="G446" s="430">
        <v>4.76</v>
      </c>
    </row>
    <row r="447" spans="1:7" s="237" customFormat="1" ht="14.25">
      <c r="A447" s="420"/>
      <c r="B447" s="420"/>
      <c r="C447" s="420"/>
      <c r="D447" s="420"/>
      <c r="E447" s="513" t="s">
        <v>2084</v>
      </c>
      <c r="F447" s="513"/>
      <c r="G447" s="431">
        <v>34.72</v>
      </c>
    </row>
    <row r="448" spans="1:7" s="237" customFormat="1" ht="30">
      <c r="A448" s="512" t="s">
        <v>2085</v>
      </c>
      <c r="B448" s="512"/>
      <c r="C448" s="426" t="s">
        <v>2071</v>
      </c>
      <c r="D448" s="426" t="s">
        <v>2072</v>
      </c>
      <c r="E448" s="426" t="s">
        <v>2073</v>
      </c>
      <c r="F448" s="426" t="s">
        <v>2074</v>
      </c>
      <c r="G448" s="426" t="s">
        <v>2075</v>
      </c>
    </row>
    <row r="449" spans="1:7" s="237" customFormat="1" ht="28.5">
      <c r="A449" s="427" t="s">
        <v>2305</v>
      </c>
      <c r="B449" s="428" t="s">
        <v>2306</v>
      </c>
      <c r="C449" s="427" t="s">
        <v>1400</v>
      </c>
      <c r="D449" s="427" t="s">
        <v>2054</v>
      </c>
      <c r="E449" s="429">
        <v>0.25679999999999997</v>
      </c>
      <c r="F449" s="430">
        <v>28.75</v>
      </c>
      <c r="G449" s="430">
        <v>7.38</v>
      </c>
    </row>
    <row r="450" spans="1:7" s="237" customFormat="1" ht="28.5">
      <c r="A450" s="427" t="s">
        <v>2152</v>
      </c>
      <c r="B450" s="428" t="s">
        <v>2153</v>
      </c>
      <c r="C450" s="427" t="s">
        <v>1400</v>
      </c>
      <c r="D450" s="427" t="s">
        <v>2054</v>
      </c>
      <c r="E450" s="429">
        <v>0.25679999999999997</v>
      </c>
      <c r="F450" s="430">
        <v>35.380000000000003</v>
      </c>
      <c r="G450" s="430">
        <v>9.09</v>
      </c>
    </row>
    <row r="451" spans="1:7" s="237" customFormat="1" ht="14.25">
      <c r="A451" s="420"/>
      <c r="B451" s="420"/>
      <c r="C451" s="420"/>
      <c r="D451" s="420"/>
      <c r="E451" s="513" t="s">
        <v>2090</v>
      </c>
      <c r="F451" s="513"/>
      <c r="G451" s="431">
        <v>16.47</v>
      </c>
    </row>
    <row r="452" spans="1:7" s="237" customFormat="1">
      <c r="A452" s="420"/>
      <c r="B452" s="420"/>
      <c r="C452" s="420"/>
      <c r="D452" s="420"/>
      <c r="E452" s="483" t="s">
        <v>2095</v>
      </c>
      <c r="F452" s="483"/>
      <c r="G452" s="415">
        <v>51.19</v>
      </c>
    </row>
    <row r="453" spans="1:7" s="237" customFormat="1" ht="14.25">
      <c r="A453" s="420"/>
      <c r="B453" s="420"/>
      <c r="C453" s="514"/>
      <c r="D453" s="514"/>
      <c r="E453" s="420"/>
      <c r="F453" s="420"/>
      <c r="G453" s="420"/>
    </row>
    <row r="454" spans="1:7" s="237" customFormat="1" ht="31.5" customHeight="1">
      <c r="A454" s="515" t="s">
        <v>2350</v>
      </c>
      <c r="B454" s="515"/>
      <c r="C454" s="515"/>
      <c r="D454" s="515"/>
      <c r="E454" s="515"/>
      <c r="F454" s="515"/>
      <c r="G454" s="515"/>
    </row>
    <row r="455" spans="1:7" s="237" customFormat="1" ht="30">
      <c r="A455" s="512" t="s">
        <v>2070</v>
      </c>
      <c r="B455" s="512"/>
      <c r="C455" s="426" t="s">
        <v>2071</v>
      </c>
      <c r="D455" s="426" t="s">
        <v>2072</v>
      </c>
      <c r="E455" s="426" t="s">
        <v>2073</v>
      </c>
      <c r="F455" s="426" t="s">
        <v>2074</v>
      </c>
      <c r="G455" s="426" t="s">
        <v>2075</v>
      </c>
    </row>
    <row r="456" spans="1:7" s="237" customFormat="1" ht="14.25">
      <c r="A456" s="427" t="s">
        <v>2327</v>
      </c>
      <c r="B456" s="428" t="s">
        <v>2328</v>
      </c>
      <c r="C456" s="427" t="s">
        <v>1400</v>
      </c>
      <c r="D456" s="427" t="s">
        <v>1403</v>
      </c>
      <c r="E456" s="429">
        <v>2.92E-2</v>
      </c>
      <c r="F456" s="430">
        <v>66.94</v>
      </c>
      <c r="G456" s="430">
        <v>1.95</v>
      </c>
    </row>
    <row r="457" spans="1:7" s="237" customFormat="1" ht="28.5">
      <c r="A457" s="427" t="s">
        <v>2351</v>
      </c>
      <c r="B457" s="428" t="s">
        <v>2352</v>
      </c>
      <c r="C457" s="427" t="s">
        <v>1400</v>
      </c>
      <c r="D457" s="427" t="s">
        <v>1403</v>
      </c>
      <c r="E457" s="429">
        <v>1</v>
      </c>
      <c r="F457" s="430">
        <v>68.989999999999995</v>
      </c>
      <c r="G457" s="430">
        <v>68.989999999999995</v>
      </c>
    </row>
    <row r="458" spans="1:7" s="237" customFormat="1" ht="14.25">
      <c r="A458" s="427" t="s">
        <v>2331</v>
      </c>
      <c r="B458" s="428" t="s">
        <v>2332</v>
      </c>
      <c r="C458" s="427" t="s">
        <v>1400</v>
      </c>
      <c r="D458" s="427" t="s">
        <v>1403</v>
      </c>
      <c r="E458" s="429">
        <v>1.54E-2</v>
      </c>
      <c r="F458" s="430">
        <v>2.13</v>
      </c>
      <c r="G458" s="430">
        <v>0.03</v>
      </c>
    </row>
    <row r="459" spans="1:7" s="237" customFormat="1" ht="28.5">
      <c r="A459" s="427" t="s">
        <v>2333</v>
      </c>
      <c r="B459" s="428" t="s">
        <v>2334</v>
      </c>
      <c r="C459" s="427" t="s">
        <v>1400</v>
      </c>
      <c r="D459" s="427" t="s">
        <v>1403</v>
      </c>
      <c r="E459" s="429">
        <v>4.3999999999999997E-2</v>
      </c>
      <c r="F459" s="430">
        <v>75.84</v>
      </c>
      <c r="G459" s="430">
        <v>3.34</v>
      </c>
    </row>
    <row r="460" spans="1:7" s="237" customFormat="1" ht="14.25">
      <c r="A460" s="420"/>
      <c r="B460" s="420"/>
      <c r="C460" s="420"/>
      <c r="D460" s="420"/>
      <c r="E460" s="513" t="s">
        <v>2084</v>
      </c>
      <c r="F460" s="513"/>
      <c r="G460" s="431">
        <v>74.31</v>
      </c>
    </row>
    <row r="461" spans="1:7" s="237" customFormat="1" ht="30">
      <c r="A461" s="512" t="s">
        <v>2085</v>
      </c>
      <c r="B461" s="512"/>
      <c r="C461" s="426" t="s">
        <v>2071</v>
      </c>
      <c r="D461" s="426" t="s">
        <v>2072</v>
      </c>
      <c r="E461" s="426" t="s">
        <v>2073</v>
      </c>
      <c r="F461" s="426" t="s">
        <v>2074</v>
      </c>
      <c r="G461" s="426" t="s">
        <v>2075</v>
      </c>
    </row>
    <row r="462" spans="1:7" s="237" customFormat="1" ht="28.5">
      <c r="A462" s="427" t="s">
        <v>2305</v>
      </c>
      <c r="B462" s="428" t="s">
        <v>2306</v>
      </c>
      <c r="C462" s="427" t="s">
        <v>1400</v>
      </c>
      <c r="D462" s="427" t="s">
        <v>2054</v>
      </c>
      <c r="E462" s="429">
        <v>0.42309999999999998</v>
      </c>
      <c r="F462" s="430">
        <v>28.75</v>
      </c>
      <c r="G462" s="430">
        <v>12.16</v>
      </c>
    </row>
    <row r="463" spans="1:7" s="237" customFormat="1" ht="28.5">
      <c r="A463" s="427" t="s">
        <v>2152</v>
      </c>
      <c r="B463" s="428" t="s">
        <v>2153</v>
      </c>
      <c r="C463" s="427" t="s">
        <v>1400</v>
      </c>
      <c r="D463" s="427" t="s">
        <v>2054</v>
      </c>
      <c r="E463" s="429">
        <v>0.42309999999999998</v>
      </c>
      <c r="F463" s="430">
        <v>35.380000000000003</v>
      </c>
      <c r="G463" s="430">
        <v>14.97</v>
      </c>
    </row>
    <row r="464" spans="1:7" s="237" customFormat="1" ht="14.25">
      <c r="A464" s="420"/>
      <c r="B464" s="420"/>
      <c r="C464" s="420"/>
      <c r="D464" s="420"/>
      <c r="E464" s="513" t="s">
        <v>2090</v>
      </c>
      <c r="F464" s="513"/>
      <c r="G464" s="431">
        <v>27.13</v>
      </c>
    </row>
    <row r="465" spans="1:7" s="237" customFormat="1">
      <c r="A465" s="420"/>
      <c r="B465" s="420"/>
      <c r="C465" s="420"/>
      <c r="D465" s="420"/>
      <c r="E465" s="483" t="s">
        <v>2095</v>
      </c>
      <c r="F465" s="483"/>
      <c r="G465" s="415">
        <v>101.44</v>
      </c>
    </row>
    <row r="466" spans="1:7" s="237" customFormat="1" ht="14.25">
      <c r="A466" s="420"/>
      <c r="B466" s="420"/>
      <c r="C466" s="514"/>
      <c r="D466" s="514"/>
      <c r="E466" s="420"/>
      <c r="F466" s="420"/>
      <c r="G466" s="420"/>
    </row>
    <row r="467" spans="1:7" s="237" customFormat="1" ht="36.75" customHeight="1">
      <c r="A467" s="515" t="s">
        <v>2353</v>
      </c>
      <c r="B467" s="515"/>
      <c r="C467" s="515"/>
      <c r="D467" s="515"/>
      <c r="E467" s="515"/>
      <c r="F467" s="515"/>
      <c r="G467" s="515"/>
    </row>
    <row r="468" spans="1:7" s="237" customFormat="1" ht="30">
      <c r="A468" s="512" t="s">
        <v>2070</v>
      </c>
      <c r="B468" s="512"/>
      <c r="C468" s="426" t="s">
        <v>2071</v>
      </c>
      <c r="D468" s="426" t="s">
        <v>2072</v>
      </c>
      <c r="E468" s="426" t="s">
        <v>2073</v>
      </c>
      <c r="F468" s="426" t="s">
        <v>2074</v>
      </c>
      <c r="G468" s="426" t="s">
        <v>2075</v>
      </c>
    </row>
    <row r="469" spans="1:7" s="237" customFormat="1" ht="28.5">
      <c r="A469" s="427" t="s">
        <v>2354</v>
      </c>
      <c r="B469" s="428" t="s">
        <v>2355</v>
      </c>
      <c r="C469" s="427" t="s">
        <v>1400</v>
      </c>
      <c r="D469" s="427" t="s">
        <v>1403</v>
      </c>
      <c r="E469" s="429">
        <v>23.340779999999999</v>
      </c>
      <c r="F469" s="430">
        <v>2.6</v>
      </c>
      <c r="G469" s="430">
        <v>60.69</v>
      </c>
    </row>
    <row r="470" spans="1:7" s="237" customFormat="1" ht="28.5">
      <c r="A470" s="427" t="s">
        <v>2356</v>
      </c>
      <c r="B470" s="428" t="s">
        <v>2357</v>
      </c>
      <c r="C470" s="427" t="s">
        <v>1400</v>
      </c>
      <c r="D470" s="427" t="s">
        <v>2292</v>
      </c>
      <c r="E470" s="429">
        <v>3.8999999999999998E-3</v>
      </c>
      <c r="F470" s="430">
        <v>6.31</v>
      </c>
      <c r="G470" s="430">
        <v>0.02</v>
      </c>
    </row>
    <row r="471" spans="1:7" s="237" customFormat="1" ht="28.5">
      <c r="A471" s="427" t="s">
        <v>2078</v>
      </c>
      <c r="B471" s="428" t="s">
        <v>2079</v>
      </c>
      <c r="C471" s="427" t="s">
        <v>1400</v>
      </c>
      <c r="D471" s="427" t="s">
        <v>1416</v>
      </c>
      <c r="E471" s="429">
        <v>8.5511000000000004E-2</v>
      </c>
      <c r="F471" s="430">
        <v>8.26</v>
      </c>
      <c r="G471" s="430">
        <v>0.71</v>
      </c>
    </row>
    <row r="472" spans="1:7" s="237" customFormat="1" ht="14.25">
      <c r="A472" s="427" t="s">
        <v>2358</v>
      </c>
      <c r="B472" s="428" t="s">
        <v>2359</v>
      </c>
      <c r="C472" s="427" t="s">
        <v>1400</v>
      </c>
      <c r="D472" s="427" t="s">
        <v>1452</v>
      </c>
      <c r="E472" s="429">
        <v>8.9560000000000004E-3</v>
      </c>
      <c r="F472" s="430">
        <v>22.14</v>
      </c>
      <c r="G472" s="430">
        <v>0.2</v>
      </c>
    </row>
    <row r="473" spans="1:7" s="237" customFormat="1" ht="28.5">
      <c r="A473" s="427" t="s">
        <v>2360</v>
      </c>
      <c r="B473" s="428" t="s">
        <v>2361</v>
      </c>
      <c r="C473" s="427" t="s">
        <v>1400</v>
      </c>
      <c r="D473" s="427" t="s">
        <v>1416</v>
      </c>
      <c r="E473" s="429">
        <v>0.101689</v>
      </c>
      <c r="F473" s="430">
        <v>2.89</v>
      </c>
      <c r="G473" s="430">
        <v>0.28999999999999998</v>
      </c>
    </row>
    <row r="474" spans="1:7" s="237" customFormat="1" ht="42.75">
      <c r="A474" s="427" t="s">
        <v>2362</v>
      </c>
      <c r="B474" s="428" t="s">
        <v>2363</v>
      </c>
      <c r="C474" s="427" t="s">
        <v>1400</v>
      </c>
      <c r="D474" s="427" t="s">
        <v>1416</v>
      </c>
      <c r="E474" s="429">
        <v>0.31892999999999999</v>
      </c>
      <c r="F474" s="430">
        <v>28.26</v>
      </c>
      <c r="G474" s="430">
        <v>9.01</v>
      </c>
    </row>
    <row r="475" spans="1:7" s="237" customFormat="1" ht="14.25">
      <c r="A475" s="420"/>
      <c r="B475" s="420"/>
      <c r="C475" s="420"/>
      <c r="D475" s="420"/>
      <c r="E475" s="513" t="s">
        <v>2084</v>
      </c>
      <c r="F475" s="513"/>
      <c r="G475" s="431">
        <v>70.92</v>
      </c>
    </row>
    <row r="476" spans="1:7" s="237" customFormat="1" ht="30">
      <c r="A476" s="512" t="s">
        <v>2085</v>
      </c>
      <c r="B476" s="512"/>
      <c r="C476" s="426" t="s">
        <v>2071</v>
      </c>
      <c r="D476" s="426" t="s">
        <v>2072</v>
      </c>
      <c r="E476" s="426" t="s">
        <v>2073</v>
      </c>
      <c r="F476" s="426" t="s">
        <v>2074</v>
      </c>
      <c r="G476" s="426" t="s">
        <v>2075</v>
      </c>
    </row>
    <row r="477" spans="1:7" s="237" customFormat="1" ht="14.25">
      <c r="A477" s="427" t="s">
        <v>2181</v>
      </c>
      <c r="B477" s="428" t="s">
        <v>2182</v>
      </c>
      <c r="C477" s="427" t="s">
        <v>1400</v>
      </c>
      <c r="D477" s="427" t="s">
        <v>2054</v>
      </c>
      <c r="E477" s="429">
        <v>3.7916699999999999</v>
      </c>
      <c r="F477" s="430">
        <v>35.81</v>
      </c>
      <c r="G477" s="430">
        <v>135.78</v>
      </c>
    </row>
    <row r="478" spans="1:7" s="237" customFormat="1" ht="14.25">
      <c r="A478" s="427" t="s">
        <v>2088</v>
      </c>
      <c r="B478" s="428" t="s">
        <v>2089</v>
      </c>
      <c r="C478" s="427" t="s">
        <v>1400</v>
      </c>
      <c r="D478" s="427" t="s">
        <v>2054</v>
      </c>
      <c r="E478" s="429">
        <v>2.9791669999999999</v>
      </c>
      <c r="F478" s="430">
        <v>27.47</v>
      </c>
      <c r="G478" s="430">
        <v>81.84</v>
      </c>
    </row>
    <row r="479" spans="1:7" s="237" customFormat="1" ht="14.25">
      <c r="A479" s="420"/>
      <c r="B479" s="420"/>
      <c r="C479" s="420"/>
      <c r="D479" s="420"/>
      <c r="E479" s="513" t="s">
        <v>2090</v>
      </c>
      <c r="F479" s="513"/>
      <c r="G479" s="431">
        <v>217.62</v>
      </c>
    </row>
    <row r="480" spans="1:7" s="237" customFormat="1" ht="30">
      <c r="A480" s="512" t="s">
        <v>2091</v>
      </c>
      <c r="B480" s="512"/>
      <c r="C480" s="426" t="s">
        <v>2071</v>
      </c>
      <c r="D480" s="426" t="s">
        <v>2072</v>
      </c>
      <c r="E480" s="426" t="s">
        <v>2073</v>
      </c>
      <c r="F480" s="426" t="s">
        <v>2074</v>
      </c>
      <c r="G480" s="426" t="s">
        <v>2075</v>
      </c>
    </row>
    <row r="481" spans="1:7" s="237" customFormat="1" ht="42.75">
      <c r="A481" s="427" t="s">
        <v>2364</v>
      </c>
      <c r="B481" s="428" t="s">
        <v>2365</v>
      </c>
      <c r="C481" s="427" t="s">
        <v>1400</v>
      </c>
      <c r="D481" s="427" t="s">
        <v>1422</v>
      </c>
      <c r="E481" s="429">
        <v>7.5539999999999996E-2</v>
      </c>
      <c r="F481" s="430">
        <v>651.03</v>
      </c>
      <c r="G481" s="430">
        <v>49.18</v>
      </c>
    </row>
    <row r="482" spans="1:7" s="237" customFormat="1" ht="42.75">
      <c r="A482" s="427" t="s">
        <v>2366</v>
      </c>
      <c r="B482" s="428" t="s">
        <v>2367</v>
      </c>
      <c r="C482" s="427" t="s">
        <v>1400</v>
      </c>
      <c r="D482" s="427" t="s">
        <v>1422</v>
      </c>
      <c r="E482" s="429">
        <v>1.661E-2</v>
      </c>
      <c r="F482" s="430">
        <v>455.23</v>
      </c>
      <c r="G482" s="430">
        <v>7.56</v>
      </c>
    </row>
    <row r="483" spans="1:7" s="237" customFormat="1" ht="42.75">
      <c r="A483" s="427" t="s">
        <v>2189</v>
      </c>
      <c r="B483" s="428" t="s">
        <v>2190</v>
      </c>
      <c r="C483" s="427" t="s">
        <v>1400</v>
      </c>
      <c r="D483" s="427" t="s">
        <v>1422</v>
      </c>
      <c r="E483" s="429">
        <v>3.2210000000000003E-2</v>
      </c>
      <c r="F483" s="430">
        <v>433.3</v>
      </c>
      <c r="G483" s="430">
        <v>13.96</v>
      </c>
    </row>
    <row r="484" spans="1:7" s="237" customFormat="1" ht="42.75">
      <c r="A484" s="427" t="s">
        <v>2368</v>
      </c>
      <c r="B484" s="428" t="s">
        <v>2369</v>
      </c>
      <c r="C484" s="427" t="s">
        <v>1400</v>
      </c>
      <c r="D484" s="427" t="s">
        <v>1422</v>
      </c>
      <c r="E484" s="429">
        <v>1.9067000000000001E-2</v>
      </c>
      <c r="F484" s="430">
        <v>4014.84</v>
      </c>
      <c r="G484" s="430">
        <v>76.55</v>
      </c>
    </row>
    <row r="485" spans="1:7" s="237" customFormat="1" ht="28.5">
      <c r="A485" s="427" t="s">
        <v>1432</v>
      </c>
      <c r="B485" s="428" t="s">
        <v>1433</v>
      </c>
      <c r="C485" s="427" t="s">
        <v>1400</v>
      </c>
      <c r="D485" s="427" t="s">
        <v>1398</v>
      </c>
      <c r="E485" s="429">
        <v>0.50556000000000001</v>
      </c>
      <c r="F485" s="430">
        <v>8.15</v>
      </c>
      <c r="G485" s="430">
        <v>4.12</v>
      </c>
    </row>
    <row r="486" spans="1:7" s="237" customFormat="1" ht="14.25">
      <c r="A486" s="420"/>
      <c r="B486" s="420"/>
      <c r="C486" s="420"/>
      <c r="D486" s="420"/>
      <c r="E486" s="513" t="s">
        <v>2094</v>
      </c>
      <c r="F486" s="513"/>
      <c r="G486" s="431">
        <v>151.37</v>
      </c>
    </row>
    <row r="487" spans="1:7" s="237" customFormat="1">
      <c r="A487" s="420"/>
      <c r="B487" s="420"/>
      <c r="C487" s="420"/>
      <c r="D487" s="420"/>
      <c r="E487" s="483" t="s">
        <v>2095</v>
      </c>
      <c r="F487" s="483"/>
      <c r="G487" s="415">
        <v>439.91</v>
      </c>
    </row>
    <row r="488" spans="1:7" s="237" customFormat="1" ht="14.25">
      <c r="A488" s="420"/>
      <c r="B488" s="420"/>
      <c r="C488" s="514"/>
      <c r="D488" s="514"/>
      <c r="E488" s="420"/>
      <c r="F488" s="420"/>
      <c r="G488" s="420"/>
    </row>
    <row r="489" spans="1:7" s="237" customFormat="1">
      <c r="A489" s="515" t="s">
        <v>2370</v>
      </c>
      <c r="B489" s="515"/>
      <c r="C489" s="515"/>
      <c r="D489" s="515"/>
      <c r="E489" s="515"/>
      <c r="F489" s="515"/>
      <c r="G489" s="515"/>
    </row>
    <row r="490" spans="1:7" s="237" customFormat="1" ht="30">
      <c r="A490" s="512" t="s">
        <v>2070</v>
      </c>
      <c r="B490" s="512"/>
      <c r="C490" s="426" t="s">
        <v>2071</v>
      </c>
      <c r="D490" s="426" t="s">
        <v>2072</v>
      </c>
      <c r="E490" s="426" t="s">
        <v>2073</v>
      </c>
      <c r="F490" s="426" t="s">
        <v>2074</v>
      </c>
      <c r="G490" s="426" t="s">
        <v>2075</v>
      </c>
    </row>
    <row r="491" spans="1:7" s="237" customFormat="1" ht="14.25">
      <c r="A491" s="427" t="s">
        <v>2327</v>
      </c>
      <c r="B491" s="428" t="s">
        <v>2328</v>
      </c>
      <c r="C491" s="427" t="s">
        <v>1400</v>
      </c>
      <c r="D491" s="427" t="s">
        <v>1403</v>
      </c>
      <c r="E491" s="429">
        <v>2.0029399999999999E-2</v>
      </c>
      <c r="F491" s="430">
        <v>66.94</v>
      </c>
      <c r="G491" s="430">
        <v>1.34</v>
      </c>
    </row>
    <row r="492" spans="1:7" s="237" customFormat="1" ht="28.5">
      <c r="A492" s="427" t="s">
        <v>2371</v>
      </c>
      <c r="B492" s="428" t="s">
        <v>2372</v>
      </c>
      <c r="C492" s="427" t="s">
        <v>1400</v>
      </c>
      <c r="D492" s="427" t="s">
        <v>1403</v>
      </c>
      <c r="E492" s="429">
        <v>1</v>
      </c>
      <c r="F492" s="430">
        <v>12.03</v>
      </c>
      <c r="G492" s="430">
        <v>12.03</v>
      </c>
    </row>
    <row r="493" spans="1:7" s="237" customFormat="1" ht="28.5">
      <c r="A493" s="427" t="s">
        <v>2333</v>
      </c>
      <c r="B493" s="428" t="s">
        <v>2334</v>
      </c>
      <c r="C493" s="427" t="s">
        <v>1400</v>
      </c>
      <c r="D493" s="427" t="s">
        <v>1403</v>
      </c>
      <c r="E493" s="429">
        <v>7.4999999999999997E-3</v>
      </c>
      <c r="F493" s="430">
        <v>75.84</v>
      </c>
      <c r="G493" s="430">
        <v>0.56999999999999995</v>
      </c>
    </row>
    <row r="494" spans="1:7" s="237" customFormat="1" ht="14.25">
      <c r="A494" s="420"/>
      <c r="B494" s="420"/>
      <c r="C494" s="420"/>
      <c r="D494" s="420"/>
      <c r="E494" s="513" t="s">
        <v>2084</v>
      </c>
      <c r="F494" s="513"/>
      <c r="G494" s="431">
        <v>13.94</v>
      </c>
    </row>
    <row r="495" spans="1:7" s="237" customFormat="1" ht="30">
      <c r="A495" s="512" t="s">
        <v>2085</v>
      </c>
      <c r="B495" s="512"/>
      <c r="C495" s="426" t="s">
        <v>2071</v>
      </c>
      <c r="D495" s="426" t="s">
        <v>2072</v>
      </c>
      <c r="E495" s="426" t="s">
        <v>2073</v>
      </c>
      <c r="F495" s="426" t="s">
        <v>2074</v>
      </c>
      <c r="G495" s="426" t="s">
        <v>2075</v>
      </c>
    </row>
    <row r="496" spans="1:7" s="237" customFormat="1" ht="28.5">
      <c r="A496" s="427" t="s">
        <v>2305</v>
      </c>
      <c r="B496" s="428" t="s">
        <v>2306</v>
      </c>
      <c r="C496" s="427" t="s">
        <v>1400</v>
      </c>
      <c r="D496" s="427" t="s">
        <v>2054</v>
      </c>
      <c r="E496" s="429">
        <v>1.61</v>
      </c>
      <c r="F496" s="430">
        <v>28.75</v>
      </c>
      <c r="G496" s="430">
        <v>46.29</v>
      </c>
    </row>
    <row r="497" spans="1:7" s="237" customFormat="1" ht="28.5">
      <c r="A497" s="427" t="s">
        <v>2305</v>
      </c>
      <c r="B497" s="428" t="s">
        <v>2306</v>
      </c>
      <c r="C497" s="427" t="s">
        <v>1400</v>
      </c>
      <c r="D497" s="427" t="s">
        <v>2054</v>
      </c>
      <c r="E497" s="429">
        <v>1.4490000000000001</v>
      </c>
      <c r="F497" s="430">
        <v>28.75</v>
      </c>
      <c r="G497" s="430">
        <v>41.66</v>
      </c>
    </row>
    <row r="498" spans="1:7" s="237" customFormat="1" ht="14.25">
      <c r="A498" s="420"/>
      <c r="B498" s="420"/>
      <c r="C498" s="420"/>
      <c r="D498" s="420"/>
      <c r="E498" s="513" t="s">
        <v>2090</v>
      </c>
      <c r="F498" s="513"/>
      <c r="G498" s="431">
        <v>87.95</v>
      </c>
    </row>
    <row r="499" spans="1:7" s="237" customFormat="1">
      <c r="A499" s="420"/>
      <c r="B499" s="420"/>
      <c r="C499" s="420"/>
      <c r="D499" s="420"/>
      <c r="E499" s="483" t="s">
        <v>2095</v>
      </c>
      <c r="F499" s="483"/>
      <c r="G499" s="415">
        <v>101.89</v>
      </c>
    </row>
    <row r="500" spans="1:7" s="237" customFormat="1" ht="14.25">
      <c r="A500" s="420"/>
      <c r="B500" s="420"/>
      <c r="C500" s="514"/>
      <c r="D500" s="514"/>
      <c r="E500" s="420"/>
      <c r="F500" s="420"/>
      <c r="G500" s="420"/>
    </row>
    <row r="501" spans="1:7" s="237" customFormat="1">
      <c r="A501" s="515" t="s">
        <v>2373</v>
      </c>
      <c r="B501" s="515"/>
      <c r="C501" s="515"/>
      <c r="D501" s="515"/>
      <c r="E501" s="515"/>
      <c r="F501" s="515"/>
      <c r="G501" s="515"/>
    </row>
    <row r="502" spans="1:7" s="237" customFormat="1" ht="30">
      <c r="A502" s="512" t="s">
        <v>2070</v>
      </c>
      <c r="B502" s="512"/>
      <c r="C502" s="426" t="s">
        <v>2071</v>
      </c>
      <c r="D502" s="426" t="s">
        <v>2072</v>
      </c>
      <c r="E502" s="426" t="s">
        <v>2073</v>
      </c>
      <c r="F502" s="426" t="s">
        <v>2074</v>
      </c>
      <c r="G502" s="426" t="s">
        <v>2075</v>
      </c>
    </row>
    <row r="503" spans="1:7" s="237" customFormat="1" ht="14.25">
      <c r="A503" s="427" t="s">
        <v>2374</v>
      </c>
      <c r="B503" s="428" t="s">
        <v>2375</v>
      </c>
      <c r="C503" s="427" t="s">
        <v>1400</v>
      </c>
      <c r="D503" s="427" t="s">
        <v>1403</v>
      </c>
      <c r="E503" s="429">
        <v>1</v>
      </c>
      <c r="F503" s="430">
        <v>58.54</v>
      </c>
      <c r="G503" s="430">
        <v>58.54</v>
      </c>
    </row>
    <row r="504" spans="1:7" s="237" customFormat="1" ht="14.25">
      <c r="A504" s="420"/>
      <c r="B504" s="420"/>
      <c r="C504" s="420"/>
      <c r="D504" s="420"/>
      <c r="E504" s="513" t="s">
        <v>2084</v>
      </c>
      <c r="F504" s="513"/>
      <c r="G504" s="431">
        <v>58.54</v>
      </c>
    </row>
    <row r="505" spans="1:7" s="237" customFormat="1" ht="30">
      <c r="A505" s="512" t="s">
        <v>2085</v>
      </c>
      <c r="B505" s="512"/>
      <c r="C505" s="426" t="s">
        <v>2071</v>
      </c>
      <c r="D505" s="426" t="s">
        <v>2072</v>
      </c>
      <c r="E505" s="426" t="s">
        <v>2073</v>
      </c>
      <c r="F505" s="426" t="s">
        <v>2074</v>
      </c>
      <c r="G505" s="426" t="s">
        <v>2075</v>
      </c>
    </row>
    <row r="506" spans="1:7" s="237" customFormat="1" ht="28.5">
      <c r="A506" s="427" t="s">
        <v>2152</v>
      </c>
      <c r="B506" s="428" t="s">
        <v>2153</v>
      </c>
      <c r="C506" s="427" t="s">
        <v>1400</v>
      </c>
      <c r="D506" s="427" t="s">
        <v>2054</v>
      </c>
      <c r="E506" s="429">
        <v>0.5</v>
      </c>
      <c r="F506" s="430">
        <v>35.380000000000003</v>
      </c>
      <c r="G506" s="430">
        <v>17.690000000000001</v>
      </c>
    </row>
    <row r="507" spans="1:7" s="237" customFormat="1" ht="14.25">
      <c r="A507" s="427" t="s">
        <v>2088</v>
      </c>
      <c r="B507" s="428" t="s">
        <v>2089</v>
      </c>
      <c r="C507" s="427" t="s">
        <v>1400</v>
      </c>
      <c r="D507" s="427" t="s">
        <v>2054</v>
      </c>
      <c r="E507" s="429">
        <v>0.5</v>
      </c>
      <c r="F507" s="430">
        <v>27.47</v>
      </c>
      <c r="G507" s="430">
        <v>13.74</v>
      </c>
    </row>
    <row r="508" spans="1:7" s="237" customFormat="1" ht="14.25">
      <c r="A508" s="420"/>
      <c r="B508" s="420"/>
      <c r="C508" s="420"/>
      <c r="D508" s="420"/>
      <c r="E508" s="513" t="s">
        <v>2090</v>
      </c>
      <c r="F508" s="513"/>
      <c r="G508" s="431">
        <v>31.43</v>
      </c>
    </row>
    <row r="509" spans="1:7" s="237" customFormat="1">
      <c r="A509" s="420"/>
      <c r="B509" s="420"/>
      <c r="C509" s="420"/>
      <c r="D509" s="420"/>
      <c r="E509" s="483" t="s">
        <v>2095</v>
      </c>
      <c r="F509" s="483"/>
      <c r="G509" s="415">
        <v>89.97</v>
      </c>
    </row>
    <row r="510" spans="1:7" s="237" customFormat="1" ht="14.25">
      <c r="A510" s="420"/>
      <c r="B510" s="420"/>
      <c r="C510" s="514"/>
      <c r="D510" s="514"/>
      <c r="E510" s="420"/>
      <c r="F510" s="420"/>
      <c r="G510" s="420"/>
    </row>
    <row r="511" spans="1:7" s="237" customFormat="1">
      <c r="A511" s="515" t="s">
        <v>2376</v>
      </c>
      <c r="B511" s="515"/>
      <c r="C511" s="515"/>
      <c r="D511" s="515"/>
      <c r="E511" s="515"/>
      <c r="F511" s="515"/>
      <c r="G511" s="515"/>
    </row>
    <row r="512" spans="1:7" s="237" customFormat="1" ht="30">
      <c r="A512" s="512" t="s">
        <v>2070</v>
      </c>
      <c r="B512" s="512"/>
      <c r="C512" s="426" t="s">
        <v>2071</v>
      </c>
      <c r="D512" s="426" t="s">
        <v>2072</v>
      </c>
      <c r="E512" s="426" t="s">
        <v>2073</v>
      </c>
      <c r="F512" s="426" t="s">
        <v>2074</v>
      </c>
      <c r="G512" s="426" t="s">
        <v>2075</v>
      </c>
    </row>
    <row r="513" spans="1:7" s="237" customFormat="1" ht="14.25">
      <c r="A513" s="427" t="s">
        <v>2377</v>
      </c>
      <c r="B513" s="428" t="s">
        <v>2378</v>
      </c>
      <c r="C513" s="427" t="s">
        <v>1400</v>
      </c>
      <c r="D513" s="427" t="s">
        <v>1403</v>
      </c>
      <c r="E513" s="429">
        <v>2.8000000000000001E-2</v>
      </c>
      <c r="F513" s="430">
        <v>3.4</v>
      </c>
      <c r="G513" s="430">
        <v>0.1</v>
      </c>
    </row>
    <row r="514" spans="1:7" s="237" customFormat="1" ht="28.5">
      <c r="A514" s="427" t="s">
        <v>2379</v>
      </c>
      <c r="B514" s="428" t="s">
        <v>2380</v>
      </c>
      <c r="C514" s="427" t="s">
        <v>1400</v>
      </c>
      <c r="D514" s="427" t="s">
        <v>1403</v>
      </c>
      <c r="E514" s="429">
        <v>1</v>
      </c>
      <c r="F514" s="430">
        <v>174.1</v>
      </c>
      <c r="G514" s="430">
        <v>174.1</v>
      </c>
    </row>
    <row r="515" spans="1:7" s="237" customFormat="1" ht="14.25">
      <c r="A515" s="420"/>
      <c r="B515" s="420"/>
      <c r="C515" s="420"/>
      <c r="D515" s="420"/>
      <c r="E515" s="513" t="s">
        <v>2084</v>
      </c>
      <c r="F515" s="513"/>
      <c r="G515" s="431">
        <v>174.2</v>
      </c>
    </row>
    <row r="516" spans="1:7" s="237" customFormat="1" ht="30">
      <c r="A516" s="512" t="s">
        <v>2085</v>
      </c>
      <c r="B516" s="512"/>
      <c r="C516" s="426" t="s">
        <v>2071</v>
      </c>
      <c r="D516" s="426" t="s">
        <v>2072</v>
      </c>
      <c r="E516" s="426" t="s">
        <v>2073</v>
      </c>
      <c r="F516" s="426" t="s">
        <v>2074</v>
      </c>
      <c r="G516" s="426" t="s">
        <v>2075</v>
      </c>
    </row>
    <row r="517" spans="1:7" s="237" customFormat="1" ht="28.5">
      <c r="A517" s="427" t="s">
        <v>2305</v>
      </c>
      <c r="B517" s="428" t="s">
        <v>2306</v>
      </c>
      <c r="C517" s="427" t="s">
        <v>1400</v>
      </c>
      <c r="D517" s="427" t="s">
        <v>2054</v>
      </c>
      <c r="E517" s="429">
        <v>0.5</v>
      </c>
      <c r="F517" s="430">
        <v>28.75</v>
      </c>
      <c r="G517" s="430">
        <v>14.38</v>
      </c>
    </row>
    <row r="518" spans="1:7" s="237" customFormat="1" ht="14.25">
      <c r="A518" s="427" t="s">
        <v>2131</v>
      </c>
      <c r="B518" s="428" t="s">
        <v>2132</v>
      </c>
      <c r="C518" s="427" t="s">
        <v>1400</v>
      </c>
      <c r="D518" s="427" t="s">
        <v>2054</v>
      </c>
      <c r="E518" s="429">
        <v>0.5</v>
      </c>
      <c r="F518" s="430">
        <v>36</v>
      </c>
      <c r="G518" s="430">
        <v>18</v>
      </c>
    </row>
    <row r="519" spans="1:7" s="237" customFormat="1" ht="28.5">
      <c r="A519" s="427" t="s">
        <v>2152</v>
      </c>
      <c r="B519" s="428" t="s">
        <v>2153</v>
      </c>
      <c r="C519" s="427" t="s">
        <v>1400</v>
      </c>
      <c r="D519" s="427" t="s">
        <v>2054</v>
      </c>
      <c r="E519" s="429">
        <v>0.5</v>
      </c>
      <c r="F519" s="430">
        <v>35.380000000000003</v>
      </c>
      <c r="G519" s="430">
        <v>17.690000000000001</v>
      </c>
    </row>
    <row r="520" spans="1:7" s="237" customFormat="1" ht="14.25">
      <c r="A520" s="420"/>
      <c r="B520" s="420"/>
      <c r="C520" s="420"/>
      <c r="D520" s="420"/>
      <c r="E520" s="513" t="s">
        <v>2090</v>
      </c>
      <c r="F520" s="513"/>
      <c r="G520" s="431">
        <v>50.07</v>
      </c>
    </row>
    <row r="521" spans="1:7" s="237" customFormat="1">
      <c r="A521" s="420"/>
      <c r="B521" s="420"/>
      <c r="C521" s="420"/>
      <c r="D521" s="420"/>
      <c r="E521" s="483" t="s">
        <v>2095</v>
      </c>
      <c r="F521" s="483"/>
      <c r="G521" s="415">
        <v>224.27</v>
      </c>
    </row>
    <row r="522" spans="1:7" s="237" customFormat="1" ht="14.25">
      <c r="A522" s="420"/>
      <c r="B522" s="420"/>
      <c r="C522" s="514"/>
      <c r="D522" s="514"/>
      <c r="E522" s="420"/>
      <c r="F522" s="420"/>
      <c r="G522" s="420"/>
    </row>
    <row r="523" spans="1:7" s="237" customFormat="1">
      <c r="A523" s="515" t="s">
        <v>2381</v>
      </c>
      <c r="B523" s="515"/>
      <c r="C523" s="515"/>
      <c r="D523" s="515"/>
      <c r="E523" s="515"/>
      <c r="F523" s="515"/>
      <c r="G523" s="515"/>
    </row>
    <row r="524" spans="1:7" s="237" customFormat="1" ht="30">
      <c r="A524" s="512" t="s">
        <v>2070</v>
      </c>
      <c r="B524" s="512"/>
      <c r="C524" s="426" t="s">
        <v>2071</v>
      </c>
      <c r="D524" s="426" t="s">
        <v>2072</v>
      </c>
      <c r="E524" s="426" t="s">
        <v>2073</v>
      </c>
      <c r="F524" s="426" t="s">
        <v>2074</v>
      </c>
      <c r="G524" s="426" t="s">
        <v>2075</v>
      </c>
    </row>
    <row r="525" spans="1:7" s="237" customFormat="1" ht="28.5">
      <c r="A525" s="427" t="s">
        <v>2382</v>
      </c>
      <c r="B525" s="428" t="s">
        <v>2383</v>
      </c>
      <c r="C525" s="427" t="s">
        <v>1400</v>
      </c>
      <c r="D525" s="427" t="s">
        <v>1403</v>
      </c>
      <c r="E525" s="429">
        <v>1</v>
      </c>
      <c r="F525" s="430">
        <v>43.36</v>
      </c>
      <c r="G525" s="430">
        <v>43.36</v>
      </c>
    </row>
    <row r="526" spans="1:7" s="237" customFormat="1" ht="14.25">
      <c r="A526" s="420"/>
      <c r="B526" s="420"/>
      <c r="C526" s="420"/>
      <c r="D526" s="420"/>
      <c r="E526" s="513" t="s">
        <v>2084</v>
      </c>
      <c r="F526" s="513"/>
      <c r="G526" s="431">
        <v>43.36</v>
      </c>
    </row>
    <row r="527" spans="1:7" s="237" customFormat="1" ht="30">
      <c r="A527" s="512" t="s">
        <v>2085</v>
      </c>
      <c r="B527" s="512"/>
      <c r="C527" s="426" t="s">
        <v>2071</v>
      </c>
      <c r="D527" s="426" t="s">
        <v>2072</v>
      </c>
      <c r="E527" s="426" t="s">
        <v>2073</v>
      </c>
      <c r="F527" s="426" t="s">
        <v>2074</v>
      </c>
      <c r="G527" s="426" t="s">
        <v>2075</v>
      </c>
    </row>
    <row r="528" spans="1:7" s="237" customFormat="1" ht="14.25">
      <c r="A528" s="427" t="s">
        <v>2088</v>
      </c>
      <c r="B528" s="428" t="s">
        <v>2089</v>
      </c>
      <c r="C528" s="427" t="s">
        <v>1400</v>
      </c>
      <c r="D528" s="427" t="s">
        <v>2054</v>
      </c>
      <c r="E528" s="429">
        <v>0.2</v>
      </c>
      <c r="F528" s="430">
        <v>27.47</v>
      </c>
      <c r="G528" s="430">
        <v>5.49</v>
      </c>
    </row>
    <row r="529" spans="1:7" s="237" customFormat="1" ht="14.25">
      <c r="A529" s="420"/>
      <c r="B529" s="420"/>
      <c r="C529" s="420"/>
      <c r="D529" s="420"/>
      <c r="E529" s="513" t="s">
        <v>2090</v>
      </c>
      <c r="F529" s="513"/>
      <c r="G529" s="431">
        <v>5.49</v>
      </c>
    </row>
    <row r="530" spans="1:7" s="237" customFormat="1">
      <c r="A530" s="420"/>
      <c r="B530" s="420"/>
      <c r="C530" s="420"/>
      <c r="D530" s="420"/>
      <c r="E530" s="483" t="s">
        <v>2095</v>
      </c>
      <c r="F530" s="483"/>
      <c r="G530" s="415">
        <v>48.85</v>
      </c>
    </row>
    <row r="531" spans="1:7" s="237" customFormat="1" ht="14.25">
      <c r="A531" s="420"/>
      <c r="B531" s="420"/>
      <c r="C531" s="514"/>
      <c r="D531" s="514"/>
      <c r="E531" s="420"/>
      <c r="F531" s="420"/>
      <c r="G531" s="420"/>
    </row>
    <row r="532" spans="1:7" s="237" customFormat="1">
      <c r="A532" s="515" t="s">
        <v>2384</v>
      </c>
      <c r="B532" s="515"/>
      <c r="C532" s="515"/>
      <c r="D532" s="515"/>
      <c r="E532" s="515"/>
      <c r="F532" s="515"/>
      <c r="G532" s="515"/>
    </row>
    <row r="533" spans="1:7" s="237" customFormat="1" ht="30">
      <c r="A533" s="512" t="s">
        <v>2070</v>
      </c>
      <c r="B533" s="512"/>
      <c r="C533" s="426" t="s">
        <v>2071</v>
      </c>
      <c r="D533" s="426" t="s">
        <v>2072</v>
      </c>
      <c r="E533" s="426" t="s">
        <v>2073</v>
      </c>
      <c r="F533" s="426" t="s">
        <v>2074</v>
      </c>
      <c r="G533" s="426" t="s">
        <v>2075</v>
      </c>
    </row>
    <row r="534" spans="1:7" s="237" customFormat="1" ht="28.5">
      <c r="A534" s="427" t="s">
        <v>2385</v>
      </c>
      <c r="B534" s="428" t="s">
        <v>2386</v>
      </c>
      <c r="C534" s="427" t="s">
        <v>1400</v>
      </c>
      <c r="D534" s="427" t="s">
        <v>1403</v>
      </c>
      <c r="E534" s="429">
        <v>1</v>
      </c>
      <c r="F534" s="430">
        <v>109.33</v>
      </c>
      <c r="G534" s="430">
        <v>109.33</v>
      </c>
    </row>
    <row r="535" spans="1:7" s="237" customFormat="1" ht="14.25">
      <c r="A535" s="427" t="s">
        <v>2377</v>
      </c>
      <c r="B535" s="428" t="s">
        <v>2378</v>
      </c>
      <c r="C535" s="427" t="s">
        <v>1400</v>
      </c>
      <c r="D535" s="427" t="s">
        <v>1403</v>
      </c>
      <c r="E535" s="429">
        <v>4.2000000000000003E-2</v>
      </c>
      <c r="F535" s="430">
        <v>3.4</v>
      </c>
      <c r="G535" s="430">
        <v>0.14000000000000001</v>
      </c>
    </row>
    <row r="536" spans="1:7" s="237" customFormat="1" ht="14.25">
      <c r="A536" s="420"/>
      <c r="B536" s="420"/>
      <c r="C536" s="420"/>
      <c r="D536" s="420"/>
      <c r="E536" s="513" t="s">
        <v>2084</v>
      </c>
      <c r="F536" s="513"/>
      <c r="G536" s="431">
        <v>109.47</v>
      </c>
    </row>
    <row r="537" spans="1:7" s="237" customFormat="1" ht="30">
      <c r="A537" s="512" t="s">
        <v>2085</v>
      </c>
      <c r="B537" s="512"/>
      <c r="C537" s="426" t="s">
        <v>2071</v>
      </c>
      <c r="D537" s="426" t="s">
        <v>2072</v>
      </c>
      <c r="E537" s="426" t="s">
        <v>2073</v>
      </c>
      <c r="F537" s="426" t="s">
        <v>2074</v>
      </c>
      <c r="G537" s="426" t="s">
        <v>2075</v>
      </c>
    </row>
    <row r="538" spans="1:7" s="237" customFormat="1" ht="28.5">
      <c r="A538" s="427" t="s">
        <v>2152</v>
      </c>
      <c r="B538" s="428" t="s">
        <v>2153</v>
      </c>
      <c r="C538" s="427" t="s">
        <v>1400</v>
      </c>
      <c r="D538" s="427" t="s">
        <v>2054</v>
      </c>
      <c r="E538" s="429">
        <v>0.5</v>
      </c>
      <c r="F538" s="430">
        <v>35.380000000000003</v>
      </c>
      <c r="G538" s="430">
        <v>17.690000000000001</v>
      </c>
    </row>
    <row r="539" spans="1:7" s="237" customFormat="1" ht="14.25">
      <c r="A539" s="420"/>
      <c r="B539" s="420"/>
      <c r="C539" s="420"/>
      <c r="D539" s="420"/>
      <c r="E539" s="513" t="s">
        <v>2090</v>
      </c>
      <c r="F539" s="513"/>
      <c r="G539" s="431">
        <v>17.690000000000001</v>
      </c>
    </row>
    <row r="540" spans="1:7" s="237" customFormat="1">
      <c r="A540" s="420"/>
      <c r="B540" s="420"/>
      <c r="C540" s="420"/>
      <c r="D540" s="420"/>
      <c r="E540" s="483" t="s">
        <v>2095</v>
      </c>
      <c r="F540" s="483"/>
      <c r="G540" s="415">
        <v>127.16</v>
      </c>
    </row>
    <row r="541" spans="1:7" s="237" customFormat="1" ht="14.25">
      <c r="A541" s="420"/>
      <c r="B541" s="420"/>
      <c r="C541" s="514"/>
      <c r="D541" s="514"/>
      <c r="E541" s="420"/>
      <c r="F541" s="420"/>
      <c r="G541" s="420"/>
    </row>
    <row r="542" spans="1:7" s="237" customFormat="1">
      <c r="A542" s="515" t="s">
        <v>2387</v>
      </c>
      <c r="B542" s="515"/>
      <c r="C542" s="515"/>
      <c r="D542" s="515"/>
      <c r="E542" s="515"/>
      <c r="F542" s="515"/>
      <c r="G542" s="515"/>
    </row>
    <row r="543" spans="1:7" s="237" customFormat="1" ht="30">
      <c r="A543" s="512" t="s">
        <v>2070</v>
      </c>
      <c r="B543" s="512"/>
      <c r="C543" s="426" t="s">
        <v>2071</v>
      </c>
      <c r="D543" s="426" t="s">
        <v>2072</v>
      </c>
      <c r="E543" s="426" t="s">
        <v>2073</v>
      </c>
      <c r="F543" s="426" t="s">
        <v>2074</v>
      </c>
      <c r="G543" s="426" t="s">
        <v>2075</v>
      </c>
    </row>
    <row r="544" spans="1:7" s="237" customFormat="1" ht="28.5">
      <c r="A544" s="427" t="s">
        <v>2388</v>
      </c>
      <c r="B544" s="428" t="s">
        <v>2389</v>
      </c>
      <c r="C544" s="427" t="s">
        <v>1400</v>
      </c>
      <c r="D544" s="427" t="s">
        <v>1403</v>
      </c>
      <c r="E544" s="429">
        <v>1</v>
      </c>
      <c r="F544" s="430">
        <v>33.22</v>
      </c>
      <c r="G544" s="430">
        <v>33.22</v>
      </c>
    </row>
    <row r="545" spans="1:7" s="237" customFormat="1" ht="14.25">
      <c r="A545" s="420"/>
      <c r="B545" s="420"/>
      <c r="C545" s="420"/>
      <c r="D545" s="420"/>
      <c r="E545" s="513" t="s">
        <v>2084</v>
      </c>
      <c r="F545" s="513"/>
      <c r="G545" s="431">
        <v>33.22</v>
      </c>
    </row>
    <row r="546" spans="1:7" s="237" customFormat="1" ht="30">
      <c r="A546" s="512" t="s">
        <v>2085</v>
      </c>
      <c r="B546" s="512"/>
      <c r="C546" s="426" t="s">
        <v>2071</v>
      </c>
      <c r="D546" s="426" t="s">
        <v>2072</v>
      </c>
      <c r="E546" s="426" t="s">
        <v>2073</v>
      </c>
      <c r="F546" s="426" t="s">
        <v>2074</v>
      </c>
      <c r="G546" s="426" t="s">
        <v>2075</v>
      </c>
    </row>
    <row r="547" spans="1:7" s="237" customFormat="1" ht="28.5">
      <c r="A547" s="427" t="s">
        <v>2211</v>
      </c>
      <c r="B547" s="428" t="s">
        <v>2212</v>
      </c>
      <c r="C547" s="427" t="s">
        <v>1400</v>
      </c>
      <c r="D547" s="427" t="s">
        <v>2054</v>
      </c>
      <c r="E547" s="429">
        <v>0.5</v>
      </c>
      <c r="F547" s="430">
        <v>37.83</v>
      </c>
      <c r="G547" s="430">
        <v>18.920000000000002</v>
      </c>
    </row>
    <row r="548" spans="1:7" s="237" customFormat="1" ht="14.25">
      <c r="A548" s="420"/>
      <c r="B548" s="420"/>
      <c r="C548" s="420"/>
      <c r="D548" s="420"/>
      <c r="E548" s="513" t="s">
        <v>2090</v>
      </c>
      <c r="F548" s="513"/>
      <c r="G548" s="431">
        <v>18.920000000000002</v>
      </c>
    </row>
    <row r="549" spans="1:7" s="237" customFormat="1">
      <c r="A549" s="420"/>
      <c r="B549" s="420"/>
      <c r="C549" s="420"/>
      <c r="D549" s="420"/>
      <c r="E549" s="483" t="s">
        <v>2095</v>
      </c>
      <c r="F549" s="483"/>
      <c r="G549" s="415">
        <v>52.14</v>
      </c>
    </row>
    <row r="550" spans="1:7" s="237" customFormat="1" ht="14.25">
      <c r="A550" s="420"/>
      <c r="B550" s="420"/>
      <c r="C550" s="514"/>
      <c r="D550" s="514"/>
      <c r="E550" s="420"/>
      <c r="F550" s="420"/>
      <c r="G550" s="420"/>
    </row>
    <row r="551" spans="1:7" s="237" customFormat="1">
      <c r="A551" s="515" t="s">
        <v>2390</v>
      </c>
      <c r="B551" s="515"/>
      <c r="C551" s="515"/>
      <c r="D551" s="515"/>
      <c r="E551" s="515"/>
      <c r="F551" s="515"/>
      <c r="G551" s="515"/>
    </row>
    <row r="552" spans="1:7" s="237" customFormat="1" ht="30">
      <c r="A552" s="512" t="s">
        <v>2070</v>
      </c>
      <c r="B552" s="512"/>
      <c r="C552" s="426" t="s">
        <v>2071</v>
      </c>
      <c r="D552" s="426" t="s">
        <v>2072</v>
      </c>
      <c r="E552" s="426" t="s">
        <v>2073</v>
      </c>
      <c r="F552" s="426" t="s">
        <v>2074</v>
      </c>
      <c r="G552" s="426" t="s">
        <v>2075</v>
      </c>
    </row>
    <row r="553" spans="1:7" s="237" customFormat="1" ht="28.5">
      <c r="A553" s="427" t="s">
        <v>2391</v>
      </c>
      <c r="B553" s="428" t="s">
        <v>2392</v>
      </c>
      <c r="C553" s="427" t="s">
        <v>1400</v>
      </c>
      <c r="D553" s="427" t="s">
        <v>1403</v>
      </c>
      <c r="E553" s="429">
        <v>1</v>
      </c>
      <c r="F553" s="430">
        <v>7.67</v>
      </c>
      <c r="G553" s="430">
        <v>7.67</v>
      </c>
    </row>
    <row r="554" spans="1:7" s="237" customFormat="1" ht="14.25">
      <c r="A554" s="427" t="s">
        <v>2393</v>
      </c>
      <c r="B554" s="428" t="s">
        <v>2394</v>
      </c>
      <c r="C554" s="427" t="s">
        <v>1400</v>
      </c>
      <c r="D554" s="427" t="s">
        <v>1403</v>
      </c>
      <c r="E554" s="429">
        <v>0.47799999999999998</v>
      </c>
      <c r="F554" s="430">
        <v>7.73</v>
      </c>
      <c r="G554" s="430">
        <v>3.69</v>
      </c>
    </row>
    <row r="555" spans="1:7" s="237" customFormat="1" ht="14.25">
      <c r="A555" s="420"/>
      <c r="B555" s="420"/>
      <c r="C555" s="420"/>
      <c r="D555" s="420"/>
      <c r="E555" s="513" t="s">
        <v>2084</v>
      </c>
      <c r="F555" s="513"/>
      <c r="G555" s="431">
        <v>11.36</v>
      </c>
    </row>
    <row r="556" spans="1:7" s="237" customFormat="1" ht="30">
      <c r="A556" s="512" t="s">
        <v>2085</v>
      </c>
      <c r="B556" s="512"/>
      <c r="C556" s="426" t="s">
        <v>2071</v>
      </c>
      <c r="D556" s="426" t="s">
        <v>2072</v>
      </c>
      <c r="E556" s="426" t="s">
        <v>2073</v>
      </c>
      <c r="F556" s="426" t="s">
        <v>2074</v>
      </c>
      <c r="G556" s="426" t="s">
        <v>2075</v>
      </c>
    </row>
    <row r="557" spans="1:7" s="237" customFormat="1" ht="28.5">
      <c r="A557" s="427" t="s">
        <v>2305</v>
      </c>
      <c r="B557" s="428" t="s">
        <v>2306</v>
      </c>
      <c r="C557" s="427" t="s">
        <v>1400</v>
      </c>
      <c r="D557" s="427" t="s">
        <v>2054</v>
      </c>
      <c r="E557" s="429">
        <v>0.10299999999999999</v>
      </c>
      <c r="F557" s="430">
        <v>28.75</v>
      </c>
      <c r="G557" s="430">
        <v>2.96</v>
      </c>
    </row>
    <row r="558" spans="1:7" s="237" customFormat="1" ht="28.5">
      <c r="A558" s="427" t="s">
        <v>2152</v>
      </c>
      <c r="B558" s="428" t="s">
        <v>2153</v>
      </c>
      <c r="C558" s="427" t="s">
        <v>1400</v>
      </c>
      <c r="D558" s="427" t="s">
        <v>2054</v>
      </c>
      <c r="E558" s="429">
        <v>0.10299999999999999</v>
      </c>
      <c r="F558" s="430">
        <v>35.380000000000003</v>
      </c>
      <c r="G558" s="430">
        <v>3.64</v>
      </c>
    </row>
    <row r="559" spans="1:7" s="237" customFormat="1" ht="14.25">
      <c r="A559" s="420"/>
      <c r="B559" s="420"/>
      <c r="C559" s="420"/>
      <c r="D559" s="420"/>
      <c r="E559" s="513" t="s">
        <v>2090</v>
      </c>
      <c r="F559" s="513"/>
      <c r="G559" s="431">
        <v>6.6</v>
      </c>
    </row>
    <row r="560" spans="1:7" s="237" customFormat="1">
      <c r="A560" s="420"/>
      <c r="B560" s="420"/>
      <c r="C560" s="420"/>
      <c r="D560" s="420"/>
      <c r="E560" s="483" t="s">
        <v>2095</v>
      </c>
      <c r="F560" s="483"/>
      <c r="G560" s="415">
        <v>17.96</v>
      </c>
    </row>
    <row r="561" spans="1:7" s="237" customFormat="1" ht="14.25">
      <c r="A561" s="420"/>
      <c r="B561" s="420"/>
      <c r="C561" s="514"/>
      <c r="D561" s="514"/>
      <c r="E561" s="420"/>
      <c r="F561" s="420"/>
      <c r="G561" s="420"/>
    </row>
    <row r="562" spans="1:7" s="237" customFormat="1">
      <c r="A562" s="515" t="s">
        <v>2395</v>
      </c>
      <c r="B562" s="515"/>
      <c r="C562" s="515"/>
      <c r="D562" s="515"/>
      <c r="E562" s="515"/>
      <c r="F562" s="515"/>
      <c r="G562" s="515"/>
    </row>
    <row r="563" spans="1:7" s="237" customFormat="1" ht="30">
      <c r="A563" s="512" t="s">
        <v>2070</v>
      </c>
      <c r="B563" s="512"/>
      <c r="C563" s="426" t="s">
        <v>2071</v>
      </c>
      <c r="D563" s="426" t="s">
        <v>2072</v>
      </c>
      <c r="E563" s="426" t="s">
        <v>2073</v>
      </c>
      <c r="F563" s="426" t="s">
        <v>2074</v>
      </c>
      <c r="G563" s="426" t="s">
        <v>2075</v>
      </c>
    </row>
    <row r="564" spans="1:7" s="237" customFormat="1" ht="28.5">
      <c r="A564" s="427" t="s">
        <v>2214</v>
      </c>
      <c r="B564" s="428" t="s">
        <v>2215</v>
      </c>
      <c r="C564" s="427" t="s">
        <v>1400</v>
      </c>
      <c r="D564" s="427" t="s">
        <v>1422</v>
      </c>
      <c r="E564" s="429">
        <v>1.7999999999999999E-2</v>
      </c>
      <c r="F564" s="430">
        <v>90</v>
      </c>
      <c r="G564" s="430">
        <v>1.62</v>
      </c>
    </row>
    <row r="565" spans="1:7" s="237" customFormat="1" ht="14.25">
      <c r="A565" s="427" t="s">
        <v>2142</v>
      </c>
      <c r="B565" s="428" t="s">
        <v>2143</v>
      </c>
      <c r="C565" s="427" t="s">
        <v>1400</v>
      </c>
      <c r="D565" s="427" t="s">
        <v>1452</v>
      </c>
      <c r="E565" s="429">
        <v>0.7</v>
      </c>
      <c r="F565" s="430">
        <v>0.64</v>
      </c>
      <c r="G565" s="430">
        <v>0.45</v>
      </c>
    </row>
    <row r="566" spans="1:7" s="237" customFormat="1" ht="28.5">
      <c r="A566" s="427" t="s">
        <v>2144</v>
      </c>
      <c r="B566" s="428" t="s">
        <v>2145</v>
      </c>
      <c r="C566" s="427" t="s">
        <v>1400</v>
      </c>
      <c r="D566" s="427" t="s">
        <v>1422</v>
      </c>
      <c r="E566" s="429">
        <v>2.3E-2</v>
      </c>
      <c r="F566" s="430">
        <v>98.6</v>
      </c>
      <c r="G566" s="430">
        <v>2.27</v>
      </c>
    </row>
    <row r="567" spans="1:7" s="237" customFormat="1" ht="14.25">
      <c r="A567" s="420"/>
      <c r="B567" s="420"/>
      <c r="C567" s="420"/>
      <c r="D567" s="420"/>
      <c r="E567" s="513" t="s">
        <v>2084</v>
      </c>
      <c r="F567" s="513"/>
      <c r="G567" s="431">
        <v>4.34</v>
      </c>
    </row>
    <row r="568" spans="1:7" s="237" customFormat="1" ht="30">
      <c r="A568" s="512" t="s">
        <v>2085</v>
      </c>
      <c r="B568" s="512"/>
      <c r="C568" s="426" t="s">
        <v>2071</v>
      </c>
      <c r="D568" s="426" t="s">
        <v>2072</v>
      </c>
      <c r="E568" s="426" t="s">
        <v>2073</v>
      </c>
      <c r="F568" s="426" t="s">
        <v>2074</v>
      </c>
      <c r="G568" s="426" t="s">
        <v>2075</v>
      </c>
    </row>
    <row r="569" spans="1:7" s="237" customFormat="1" ht="14.25">
      <c r="A569" s="427" t="s">
        <v>2181</v>
      </c>
      <c r="B569" s="428" t="s">
        <v>2182</v>
      </c>
      <c r="C569" s="427" t="s">
        <v>1400</v>
      </c>
      <c r="D569" s="427" t="s">
        <v>2054</v>
      </c>
      <c r="E569" s="429">
        <v>0.1026</v>
      </c>
      <c r="F569" s="430">
        <v>35.81</v>
      </c>
      <c r="G569" s="430">
        <v>3.67</v>
      </c>
    </row>
    <row r="570" spans="1:7" s="237" customFormat="1" ht="14.25">
      <c r="A570" s="427" t="s">
        <v>2088</v>
      </c>
      <c r="B570" s="428" t="s">
        <v>2089</v>
      </c>
      <c r="C570" s="427" t="s">
        <v>1400</v>
      </c>
      <c r="D570" s="427" t="s">
        <v>2054</v>
      </c>
      <c r="E570" s="429">
        <v>0.33350000000000002</v>
      </c>
      <c r="F570" s="430">
        <v>27.47</v>
      </c>
      <c r="G570" s="430">
        <v>9.16</v>
      </c>
    </row>
    <row r="571" spans="1:7" s="237" customFormat="1" ht="14.25">
      <c r="A571" s="420"/>
      <c r="B571" s="420"/>
      <c r="C571" s="420"/>
      <c r="D571" s="420"/>
      <c r="E571" s="513" t="s">
        <v>2090</v>
      </c>
      <c r="F571" s="513"/>
      <c r="G571" s="431">
        <v>12.83</v>
      </c>
    </row>
    <row r="572" spans="1:7" s="237" customFormat="1">
      <c r="A572" s="420"/>
      <c r="B572" s="420"/>
      <c r="C572" s="420"/>
      <c r="D572" s="420"/>
      <c r="E572" s="483" t="s">
        <v>2095</v>
      </c>
      <c r="F572" s="483"/>
      <c r="G572" s="415">
        <v>17.170000000000002</v>
      </c>
    </row>
    <row r="573" spans="1:7" s="237" customFormat="1" ht="14.25">
      <c r="A573" s="420"/>
      <c r="B573" s="420"/>
      <c r="C573" s="514"/>
      <c r="D573" s="514"/>
      <c r="E573" s="420"/>
      <c r="F573" s="420"/>
      <c r="G573" s="420"/>
    </row>
    <row r="574" spans="1:7" s="237" customFormat="1" ht="27" customHeight="1">
      <c r="A574" s="515" t="s">
        <v>2396</v>
      </c>
      <c r="B574" s="515"/>
      <c r="C574" s="515"/>
      <c r="D574" s="515"/>
      <c r="E574" s="515"/>
      <c r="F574" s="515"/>
      <c r="G574" s="515"/>
    </row>
    <row r="575" spans="1:7" s="237" customFormat="1" ht="30">
      <c r="A575" s="512" t="s">
        <v>2070</v>
      </c>
      <c r="B575" s="512"/>
      <c r="C575" s="426" t="s">
        <v>2071</v>
      </c>
      <c r="D575" s="426" t="s">
        <v>2072</v>
      </c>
      <c r="E575" s="426" t="s">
        <v>2073</v>
      </c>
      <c r="F575" s="426" t="s">
        <v>2074</v>
      </c>
      <c r="G575" s="426" t="s">
        <v>2075</v>
      </c>
    </row>
    <row r="576" spans="1:7" s="237" customFormat="1" ht="57">
      <c r="A576" s="427" t="s">
        <v>2397</v>
      </c>
      <c r="B576" s="428" t="s">
        <v>2398</v>
      </c>
      <c r="C576" s="427" t="s">
        <v>1400</v>
      </c>
      <c r="D576" s="427" t="s">
        <v>1403</v>
      </c>
      <c r="E576" s="429">
        <v>1</v>
      </c>
      <c r="F576" s="430">
        <v>41.9</v>
      </c>
      <c r="G576" s="430">
        <v>41.9</v>
      </c>
    </row>
    <row r="577" spans="1:7" s="237" customFormat="1" ht="14.25">
      <c r="A577" s="420"/>
      <c r="B577" s="420"/>
      <c r="C577" s="420"/>
      <c r="D577" s="420"/>
      <c r="E577" s="513" t="s">
        <v>2084</v>
      </c>
      <c r="F577" s="513"/>
      <c r="G577" s="431">
        <v>41.9</v>
      </c>
    </row>
    <row r="578" spans="1:7" s="237" customFormat="1" ht="30">
      <c r="A578" s="512" t="s">
        <v>2085</v>
      </c>
      <c r="B578" s="512"/>
      <c r="C578" s="426" t="s">
        <v>2071</v>
      </c>
      <c r="D578" s="426" t="s">
        <v>2072</v>
      </c>
      <c r="E578" s="426" t="s">
        <v>2073</v>
      </c>
      <c r="F578" s="426" t="s">
        <v>2074</v>
      </c>
      <c r="G578" s="426" t="s">
        <v>2075</v>
      </c>
    </row>
    <row r="579" spans="1:7" s="237" customFormat="1" ht="14.25">
      <c r="A579" s="427" t="s">
        <v>2088</v>
      </c>
      <c r="B579" s="428" t="s">
        <v>2089</v>
      </c>
      <c r="C579" s="427" t="s">
        <v>1400</v>
      </c>
      <c r="D579" s="427" t="s">
        <v>2054</v>
      </c>
      <c r="E579" s="429">
        <v>0.2</v>
      </c>
      <c r="F579" s="430">
        <v>27.47</v>
      </c>
      <c r="G579" s="430">
        <v>5.49</v>
      </c>
    </row>
    <row r="580" spans="1:7" s="237" customFormat="1" ht="14.25">
      <c r="A580" s="420"/>
      <c r="B580" s="420"/>
      <c r="C580" s="420"/>
      <c r="D580" s="420"/>
      <c r="E580" s="513" t="s">
        <v>2090</v>
      </c>
      <c r="F580" s="513"/>
      <c r="G580" s="431">
        <v>5.49</v>
      </c>
    </row>
    <row r="581" spans="1:7" s="237" customFormat="1">
      <c r="A581" s="420"/>
      <c r="B581" s="420"/>
      <c r="C581" s="420"/>
      <c r="D581" s="420"/>
      <c r="E581" s="483" t="s">
        <v>2095</v>
      </c>
      <c r="F581" s="483"/>
      <c r="G581" s="415">
        <v>47.39</v>
      </c>
    </row>
    <row r="582" spans="1:7" s="237" customFormat="1" ht="14.25">
      <c r="A582" s="420"/>
      <c r="B582" s="420"/>
      <c r="C582" s="514"/>
      <c r="D582" s="514"/>
      <c r="E582" s="420"/>
      <c r="F582" s="420"/>
      <c r="G582" s="420"/>
    </row>
    <row r="583" spans="1:7" s="237" customFormat="1" ht="28.5" customHeight="1">
      <c r="A583" s="515" t="s">
        <v>2399</v>
      </c>
      <c r="B583" s="515"/>
      <c r="C583" s="515"/>
      <c r="D583" s="515"/>
      <c r="E583" s="515"/>
      <c r="F583" s="515"/>
      <c r="G583" s="515"/>
    </row>
    <row r="584" spans="1:7" s="237" customFormat="1" ht="30">
      <c r="A584" s="512" t="s">
        <v>2070</v>
      </c>
      <c r="B584" s="512"/>
      <c r="C584" s="426" t="s">
        <v>2071</v>
      </c>
      <c r="D584" s="426" t="s">
        <v>2072</v>
      </c>
      <c r="E584" s="426" t="s">
        <v>2073</v>
      </c>
      <c r="F584" s="426" t="s">
        <v>2074</v>
      </c>
      <c r="G584" s="426" t="s">
        <v>2075</v>
      </c>
    </row>
    <row r="585" spans="1:7" s="237" customFormat="1" ht="57">
      <c r="A585" s="427" t="s">
        <v>2400</v>
      </c>
      <c r="B585" s="428" t="s">
        <v>2401</v>
      </c>
      <c r="C585" s="427" t="s">
        <v>1400</v>
      </c>
      <c r="D585" s="427" t="s">
        <v>1403</v>
      </c>
      <c r="E585" s="429">
        <v>1</v>
      </c>
      <c r="F585" s="430">
        <v>48.46</v>
      </c>
      <c r="G585" s="430">
        <v>48.46</v>
      </c>
    </row>
    <row r="586" spans="1:7" s="237" customFormat="1" ht="14.25">
      <c r="A586" s="420"/>
      <c r="B586" s="420"/>
      <c r="C586" s="420"/>
      <c r="D586" s="420"/>
      <c r="E586" s="513" t="s">
        <v>2084</v>
      </c>
      <c r="F586" s="513"/>
      <c r="G586" s="431">
        <v>48.46</v>
      </c>
    </row>
    <row r="587" spans="1:7" s="237" customFormat="1" ht="30">
      <c r="A587" s="512" t="s">
        <v>2085</v>
      </c>
      <c r="B587" s="512"/>
      <c r="C587" s="426" t="s">
        <v>2071</v>
      </c>
      <c r="D587" s="426" t="s">
        <v>2072</v>
      </c>
      <c r="E587" s="426" t="s">
        <v>2073</v>
      </c>
      <c r="F587" s="426" t="s">
        <v>2074</v>
      </c>
      <c r="G587" s="426" t="s">
        <v>2075</v>
      </c>
    </row>
    <row r="588" spans="1:7" s="237" customFormat="1" ht="14.25">
      <c r="A588" s="427" t="s">
        <v>2088</v>
      </c>
      <c r="B588" s="428" t="s">
        <v>2089</v>
      </c>
      <c r="C588" s="427" t="s">
        <v>1400</v>
      </c>
      <c r="D588" s="427" t="s">
        <v>2054</v>
      </c>
      <c r="E588" s="429">
        <v>0.2</v>
      </c>
      <c r="F588" s="430">
        <v>27.47</v>
      </c>
      <c r="G588" s="430">
        <v>5.49</v>
      </c>
    </row>
    <row r="589" spans="1:7" s="237" customFormat="1" ht="14.25">
      <c r="A589" s="420"/>
      <c r="B589" s="420"/>
      <c r="C589" s="420"/>
      <c r="D589" s="420"/>
      <c r="E589" s="513" t="s">
        <v>2090</v>
      </c>
      <c r="F589" s="513"/>
      <c r="G589" s="431">
        <v>5.49</v>
      </c>
    </row>
    <row r="590" spans="1:7" s="237" customFormat="1">
      <c r="A590" s="420"/>
      <c r="B590" s="420"/>
      <c r="C590" s="420"/>
      <c r="D590" s="420"/>
      <c r="E590" s="483" t="s">
        <v>2095</v>
      </c>
      <c r="F590" s="483"/>
      <c r="G590" s="415">
        <v>53.95</v>
      </c>
    </row>
    <row r="591" spans="1:7" s="237" customFormat="1" ht="14.25">
      <c r="A591" s="420"/>
      <c r="B591" s="420"/>
      <c r="C591" s="514"/>
      <c r="D591" s="514"/>
      <c r="E591" s="420"/>
      <c r="F591" s="420"/>
      <c r="G591" s="420"/>
    </row>
    <row r="592" spans="1:7" s="237" customFormat="1">
      <c r="A592" s="515" t="s">
        <v>2402</v>
      </c>
      <c r="B592" s="515"/>
      <c r="C592" s="515"/>
      <c r="D592" s="515"/>
      <c r="E592" s="515"/>
      <c r="F592" s="515"/>
      <c r="G592" s="515"/>
    </row>
    <row r="593" spans="1:7" s="237" customFormat="1" ht="30">
      <c r="A593" s="512" t="s">
        <v>2403</v>
      </c>
      <c r="B593" s="512"/>
      <c r="C593" s="426" t="s">
        <v>2071</v>
      </c>
      <c r="D593" s="426" t="s">
        <v>2072</v>
      </c>
      <c r="E593" s="426" t="s">
        <v>2073</v>
      </c>
      <c r="F593" s="426" t="s">
        <v>2074</v>
      </c>
      <c r="G593" s="426" t="s">
        <v>2075</v>
      </c>
    </row>
    <row r="594" spans="1:7" s="237" customFormat="1" ht="57">
      <c r="A594" s="427" t="s">
        <v>2404</v>
      </c>
      <c r="B594" s="428" t="s">
        <v>2405</v>
      </c>
      <c r="C594" s="427" t="s">
        <v>1400</v>
      </c>
      <c r="D594" s="427" t="s">
        <v>1403</v>
      </c>
      <c r="E594" s="429">
        <v>1</v>
      </c>
      <c r="F594" s="430">
        <v>2089.81</v>
      </c>
      <c r="G594" s="430">
        <v>2089.81</v>
      </c>
    </row>
    <row r="595" spans="1:7" s="237" customFormat="1" ht="14.25">
      <c r="A595" s="420"/>
      <c r="B595" s="420"/>
      <c r="C595" s="420"/>
      <c r="D595" s="420"/>
      <c r="E595" s="513" t="s">
        <v>2406</v>
      </c>
      <c r="F595" s="513"/>
      <c r="G595" s="431">
        <v>2089.81</v>
      </c>
    </row>
    <row r="596" spans="1:7" s="237" customFormat="1" ht="30">
      <c r="A596" s="512" t="s">
        <v>2085</v>
      </c>
      <c r="B596" s="512"/>
      <c r="C596" s="426" t="s">
        <v>2071</v>
      </c>
      <c r="D596" s="426" t="s">
        <v>2072</v>
      </c>
      <c r="E596" s="426" t="s">
        <v>2073</v>
      </c>
      <c r="F596" s="426" t="s">
        <v>2074</v>
      </c>
      <c r="G596" s="426" t="s">
        <v>2075</v>
      </c>
    </row>
    <row r="597" spans="1:7" s="237" customFormat="1" ht="28.5">
      <c r="A597" s="427" t="s">
        <v>2407</v>
      </c>
      <c r="B597" s="428" t="s">
        <v>2408</v>
      </c>
      <c r="C597" s="427" t="s">
        <v>1400</v>
      </c>
      <c r="D597" s="427" t="s">
        <v>2054</v>
      </c>
      <c r="E597" s="429">
        <v>6.1</v>
      </c>
      <c r="F597" s="430">
        <v>28.29</v>
      </c>
      <c r="G597" s="430">
        <v>172.57</v>
      </c>
    </row>
    <row r="598" spans="1:7" s="237" customFormat="1" ht="28.5">
      <c r="A598" s="427" t="s">
        <v>2409</v>
      </c>
      <c r="B598" s="428" t="s">
        <v>2410</v>
      </c>
      <c r="C598" s="427" t="s">
        <v>1400</v>
      </c>
      <c r="D598" s="427" t="s">
        <v>2054</v>
      </c>
      <c r="E598" s="429">
        <v>6.1</v>
      </c>
      <c r="F598" s="430">
        <v>44.02</v>
      </c>
      <c r="G598" s="430">
        <v>268.52</v>
      </c>
    </row>
    <row r="599" spans="1:7" s="237" customFormat="1" ht="14.25">
      <c r="A599" s="420"/>
      <c r="B599" s="420"/>
      <c r="C599" s="420"/>
      <c r="D599" s="420"/>
      <c r="E599" s="513" t="s">
        <v>2090</v>
      </c>
      <c r="F599" s="513"/>
      <c r="G599" s="431">
        <v>441.09</v>
      </c>
    </row>
    <row r="600" spans="1:7" s="237" customFormat="1">
      <c r="A600" s="420"/>
      <c r="B600" s="420"/>
      <c r="C600" s="420"/>
      <c r="D600" s="420"/>
      <c r="E600" s="483" t="s">
        <v>2095</v>
      </c>
      <c r="F600" s="483"/>
      <c r="G600" s="415">
        <v>2530.9</v>
      </c>
    </row>
    <row r="601" spans="1:7" s="237" customFormat="1" ht="14.25">
      <c r="A601" s="420"/>
      <c r="B601" s="420"/>
      <c r="C601" s="514"/>
      <c r="D601" s="514"/>
      <c r="E601" s="420"/>
      <c r="F601" s="420"/>
      <c r="G601" s="420"/>
    </row>
    <row r="602" spans="1:7" s="237" customFormat="1">
      <c r="A602" s="515" t="s">
        <v>2411</v>
      </c>
      <c r="B602" s="515"/>
      <c r="C602" s="515"/>
      <c r="D602" s="515"/>
      <c r="E602" s="515"/>
      <c r="F602" s="515"/>
      <c r="G602" s="515"/>
    </row>
    <row r="603" spans="1:7" s="237" customFormat="1" ht="30">
      <c r="A603" s="512" t="s">
        <v>2070</v>
      </c>
      <c r="B603" s="512"/>
      <c r="C603" s="426" t="s">
        <v>2071</v>
      </c>
      <c r="D603" s="426" t="s">
        <v>2072</v>
      </c>
      <c r="E603" s="426" t="s">
        <v>2073</v>
      </c>
      <c r="F603" s="426" t="s">
        <v>2074</v>
      </c>
      <c r="G603" s="426" t="s">
        <v>2075</v>
      </c>
    </row>
    <row r="604" spans="1:7" s="237" customFormat="1" ht="28.5">
      <c r="A604" s="427" t="s">
        <v>2412</v>
      </c>
      <c r="B604" s="428" t="s">
        <v>2413</v>
      </c>
      <c r="C604" s="427" t="s">
        <v>1400</v>
      </c>
      <c r="D604" s="427" t="s">
        <v>1403</v>
      </c>
      <c r="E604" s="429">
        <v>1</v>
      </c>
      <c r="F604" s="430">
        <v>125.46</v>
      </c>
      <c r="G604" s="430">
        <v>125.46</v>
      </c>
    </row>
    <row r="605" spans="1:7" s="237" customFormat="1" ht="14.25">
      <c r="A605" s="420"/>
      <c r="B605" s="420"/>
      <c r="C605" s="420"/>
      <c r="D605" s="420"/>
      <c r="E605" s="513" t="s">
        <v>2084</v>
      </c>
      <c r="F605" s="513"/>
      <c r="G605" s="431">
        <v>125.46</v>
      </c>
    </row>
    <row r="606" spans="1:7" s="237" customFormat="1" ht="30">
      <c r="A606" s="512" t="s">
        <v>2085</v>
      </c>
      <c r="B606" s="512"/>
      <c r="C606" s="426" t="s">
        <v>2071</v>
      </c>
      <c r="D606" s="426" t="s">
        <v>2072</v>
      </c>
      <c r="E606" s="426" t="s">
        <v>2073</v>
      </c>
      <c r="F606" s="426" t="s">
        <v>2074</v>
      </c>
      <c r="G606" s="426" t="s">
        <v>2075</v>
      </c>
    </row>
    <row r="607" spans="1:7" s="237" customFormat="1" ht="28.5">
      <c r="A607" s="427" t="s">
        <v>2414</v>
      </c>
      <c r="B607" s="428" t="s">
        <v>2415</v>
      </c>
      <c r="C607" s="427" t="s">
        <v>1400</v>
      </c>
      <c r="D607" s="427" t="s">
        <v>2054</v>
      </c>
      <c r="E607" s="429">
        <v>0.6</v>
      </c>
      <c r="F607" s="430">
        <v>29.39</v>
      </c>
      <c r="G607" s="430">
        <v>17.63</v>
      </c>
    </row>
    <row r="608" spans="1:7" s="237" customFormat="1" ht="14.25">
      <c r="A608" s="427" t="s">
        <v>2131</v>
      </c>
      <c r="B608" s="428" t="s">
        <v>2132</v>
      </c>
      <c r="C608" s="427" t="s">
        <v>1400</v>
      </c>
      <c r="D608" s="427" t="s">
        <v>2054</v>
      </c>
      <c r="E608" s="429">
        <v>0.6</v>
      </c>
      <c r="F608" s="430">
        <v>36</v>
      </c>
      <c r="G608" s="430">
        <v>21.6</v>
      </c>
    </row>
    <row r="609" spans="1:7" s="237" customFormat="1" ht="14.25">
      <c r="A609" s="420"/>
      <c r="B609" s="420"/>
      <c r="C609" s="420"/>
      <c r="D609" s="420"/>
      <c r="E609" s="513" t="s">
        <v>2090</v>
      </c>
      <c r="F609" s="513"/>
      <c r="G609" s="431">
        <v>39.229999999999997</v>
      </c>
    </row>
    <row r="610" spans="1:7" s="237" customFormat="1">
      <c r="A610" s="420"/>
      <c r="B610" s="420"/>
      <c r="C610" s="420"/>
      <c r="D610" s="420"/>
      <c r="E610" s="483" t="s">
        <v>2095</v>
      </c>
      <c r="F610" s="483"/>
      <c r="G610" s="415">
        <v>164.69</v>
      </c>
    </row>
    <row r="611" spans="1:7" s="237" customFormat="1" ht="14.25">
      <c r="A611" s="420"/>
      <c r="B611" s="420"/>
      <c r="C611" s="514"/>
      <c r="D611" s="514"/>
      <c r="E611" s="420"/>
      <c r="F611" s="420"/>
      <c r="G611" s="420"/>
    </row>
    <row r="612" spans="1:7" s="237" customFormat="1">
      <c r="A612" s="515" t="s">
        <v>2416</v>
      </c>
      <c r="B612" s="515"/>
      <c r="C612" s="515"/>
      <c r="D612" s="515"/>
      <c r="E612" s="515"/>
      <c r="F612" s="515"/>
      <c r="G612" s="515"/>
    </row>
    <row r="613" spans="1:7" s="237" customFormat="1" ht="30">
      <c r="A613" s="512" t="s">
        <v>2070</v>
      </c>
      <c r="B613" s="512"/>
      <c r="C613" s="426" t="s">
        <v>2071</v>
      </c>
      <c r="D613" s="426" t="s">
        <v>2072</v>
      </c>
      <c r="E613" s="426" t="s">
        <v>2073</v>
      </c>
      <c r="F613" s="426" t="s">
        <v>2074</v>
      </c>
      <c r="G613" s="426" t="s">
        <v>2075</v>
      </c>
    </row>
    <row r="614" spans="1:7" s="237" customFormat="1" ht="28.5">
      <c r="A614" s="427" t="s">
        <v>2417</v>
      </c>
      <c r="B614" s="428" t="s">
        <v>2418</v>
      </c>
      <c r="C614" s="427" t="s">
        <v>1400</v>
      </c>
      <c r="D614" s="427" t="s">
        <v>1403</v>
      </c>
      <c r="E614" s="429">
        <v>1</v>
      </c>
      <c r="F614" s="430">
        <v>125.7</v>
      </c>
      <c r="G614" s="430">
        <v>125.7</v>
      </c>
    </row>
    <row r="615" spans="1:7" s="237" customFormat="1" ht="14.25">
      <c r="A615" s="420"/>
      <c r="B615" s="420"/>
      <c r="C615" s="420"/>
      <c r="D615" s="420"/>
      <c r="E615" s="513" t="s">
        <v>2084</v>
      </c>
      <c r="F615" s="513"/>
      <c r="G615" s="431">
        <v>125.7</v>
      </c>
    </row>
    <row r="616" spans="1:7" s="237" customFormat="1" ht="30">
      <c r="A616" s="512" t="s">
        <v>2085</v>
      </c>
      <c r="B616" s="512"/>
      <c r="C616" s="426" t="s">
        <v>2071</v>
      </c>
      <c r="D616" s="426" t="s">
        <v>2072</v>
      </c>
      <c r="E616" s="426" t="s">
        <v>2073</v>
      </c>
      <c r="F616" s="426" t="s">
        <v>2074</v>
      </c>
      <c r="G616" s="426" t="s">
        <v>2075</v>
      </c>
    </row>
    <row r="617" spans="1:7" s="237" customFormat="1" ht="14.25">
      <c r="A617" s="427" t="s">
        <v>2131</v>
      </c>
      <c r="B617" s="428" t="s">
        <v>2132</v>
      </c>
      <c r="C617" s="427" t="s">
        <v>1400</v>
      </c>
      <c r="D617" s="427" t="s">
        <v>2054</v>
      </c>
      <c r="E617" s="429">
        <v>0.6</v>
      </c>
      <c r="F617" s="430">
        <v>36</v>
      </c>
      <c r="G617" s="430">
        <v>21.6</v>
      </c>
    </row>
    <row r="618" spans="1:7" s="237" customFormat="1" ht="14.25">
      <c r="A618" s="427" t="s">
        <v>2088</v>
      </c>
      <c r="B618" s="428" t="s">
        <v>2089</v>
      </c>
      <c r="C618" s="427" t="s">
        <v>1400</v>
      </c>
      <c r="D618" s="427" t="s">
        <v>2054</v>
      </c>
      <c r="E618" s="429">
        <v>0.6</v>
      </c>
      <c r="F618" s="430">
        <v>27.47</v>
      </c>
      <c r="G618" s="430">
        <v>16.48</v>
      </c>
    </row>
    <row r="619" spans="1:7" s="237" customFormat="1" ht="14.25">
      <c r="A619" s="420"/>
      <c r="B619" s="420"/>
      <c r="C619" s="420"/>
      <c r="D619" s="420"/>
      <c r="E619" s="513" t="s">
        <v>2090</v>
      </c>
      <c r="F619" s="513"/>
      <c r="G619" s="431">
        <v>38.08</v>
      </c>
    </row>
    <row r="620" spans="1:7" s="237" customFormat="1">
      <c r="A620" s="420"/>
      <c r="B620" s="420"/>
      <c r="C620" s="420"/>
      <c r="D620" s="420"/>
      <c r="E620" s="483" t="s">
        <v>2095</v>
      </c>
      <c r="F620" s="483"/>
      <c r="G620" s="415">
        <v>163.78</v>
      </c>
    </row>
    <row r="621" spans="1:7" s="237" customFormat="1" ht="14.25">
      <c r="A621" s="420"/>
      <c r="B621" s="420"/>
      <c r="C621" s="514"/>
      <c r="D621" s="514"/>
      <c r="E621" s="420"/>
      <c r="F621" s="420"/>
      <c r="G621" s="420"/>
    </row>
    <row r="622" spans="1:7" s="237" customFormat="1">
      <c r="A622" s="515" t="s">
        <v>2419</v>
      </c>
      <c r="B622" s="515"/>
      <c r="C622" s="515"/>
      <c r="D622" s="515"/>
      <c r="E622" s="515"/>
      <c r="F622" s="515"/>
      <c r="G622" s="515"/>
    </row>
    <row r="623" spans="1:7" s="237" customFormat="1" ht="30">
      <c r="A623" s="512" t="s">
        <v>2070</v>
      </c>
      <c r="B623" s="512"/>
      <c r="C623" s="426" t="s">
        <v>2071</v>
      </c>
      <c r="D623" s="426" t="s">
        <v>2072</v>
      </c>
      <c r="E623" s="426" t="s">
        <v>2073</v>
      </c>
      <c r="F623" s="426" t="s">
        <v>2074</v>
      </c>
      <c r="G623" s="426" t="s">
        <v>2075</v>
      </c>
    </row>
    <row r="624" spans="1:7" s="237" customFormat="1" ht="28.5">
      <c r="A624" s="427" t="s">
        <v>2420</v>
      </c>
      <c r="B624" s="428" t="s">
        <v>2421</v>
      </c>
      <c r="C624" s="427" t="s">
        <v>1400</v>
      </c>
      <c r="D624" s="427" t="s">
        <v>1403</v>
      </c>
      <c r="E624" s="429">
        <v>1</v>
      </c>
      <c r="F624" s="430">
        <v>125.79</v>
      </c>
      <c r="G624" s="430">
        <v>125.79</v>
      </c>
    </row>
    <row r="625" spans="1:7" s="237" customFormat="1" ht="14.25">
      <c r="A625" s="420"/>
      <c r="B625" s="420"/>
      <c r="C625" s="420"/>
      <c r="D625" s="420"/>
      <c r="E625" s="513" t="s">
        <v>2084</v>
      </c>
      <c r="F625" s="513"/>
      <c r="G625" s="431">
        <v>125.79</v>
      </c>
    </row>
    <row r="626" spans="1:7" s="237" customFormat="1" ht="30">
      <c r="A626" s="512" t="s">
        <v>2085</v>
      </c>
      <c r="B626" s="512"/>
      <c r="C626" s="426" t="s">
        <v>2071</v>
      </c>
      <c r="D626" s="426" t="s">
        <v>2072</v>
      </c>
      <c r="E626" s="426" t="s">
        <v>2073</v>
      </c>
      <c r="F626" s="426" t="s">
        <v>2074</v>
      </c>
      <c r="G626" s="426" t="s">
        <v>2075</v>
      </c>
    </row>
    <row r="627" spans="1:7" s="237" customFormat="1" ht="14.25">
      <c r="A627" s="427" t="s">
        <v>2131</v>
      </c>
      <c r="B627" s="428" t="s">
        <v>2132</v>
      </c>
      <c r="C627" s="427" t="s">
        <v>1400</v>
      </c>
      <c r="D627" s="427" t="s">
        <v>2054</v>
      </c>
      <c r="E627" s="429">
        <v>0.6</v>
      </c>
      <c r="F627" s="430">
        <v>36</v>
      </c>
      <c r="G627" s="430">
        <v>21.6</v>
      </c>
    </row>
    <row r="628" spans="1:7" s="237" customFormat="1" ht="14.25">
      <c r="A628" s="427" t="s">
        <v>2088</v>
      </c>
      <c r="B628" s="428" t="s">
        <v>2089</v>
      </c>
      <c r="C628" s="427" t="s">
        <v>1400</v>
      </c>
      <c r="D628" s="427" t="s">
        <v>2054</v>
      </c>
      <c r="E628" s="429">
        <v>0.6</v>
      </c>
      <c r="F628" s="430">
        <v>27.47</v>
      </c>
      <c r="G628" s="430">
        <v>16.48</v>
      </c>
    </row>
    <row r="629" spans="1:7" s="237" customFormat="1" ht="14.25">
      <c r="A629" s="420"/>
      <c r="B629" s="420"/>
      <c r="C629" s="420"/>
      <c r="D629" s="420"/>
      <c r="E629" s="513" t="s">
        <v>2090</v>
      </c>
      <c r="F629" s="513"/>
      <c r="G629" s="431">
        <v>38.08</v>
      </c>
    </row>
    <row r="630" spans="1:7" s="237" customFormat="1">
      <c r="A630" s="420"/>
      <c r="B630" s="420"/>
      <c r="C630" s="420"/>
      <c r="D630" s="420"/>
      <c r="E630" s="483" t="s">
        <v>2095</v>
      </c>
      <c r="F630" s="483"/>
      <c r="G630" s="415">
        <v>163.87</v>
      </c>
    </row>
    <row r="631" spans="1:7" s="237" customFormat="1" ht="14.25">
      <c r="A631" s="420"/>
      <c r="B631" s="420"/>
      <c r="C631" s="514"/>
      <c r="D631" s="514"/>
      <c r="E631" s="420"/>
      <c r="F631" s="420"/>
      <c r="G631" s="420"/>
    </row>
    <row r="632" spans="1:7" s="237" customFormat="1">
      <c r="A632" s="515" t="s">
        <v>2422</v>
      </c>
      <c r="B632" s="515"/>
      <c r="C632" s="515"/>
      <c r="D632" s="515"/>
      <c r="E632" s="515"/>
      <c r="F632" s="515"/>
      <c r="G632" s="515"/>
    </row>
    <row r="633" spans="1:7" s="237" customFormat="1" ht="30">
      <c r="A633" s="512" t="s">
        <v>2070</v>
      </c>
      <c r="B633" s="512"/>
      <c r="C633" s="426" t="s">
        <v>2071</v>
      </c>
      <c r="D633" s="426" t="s">
        <v>2072</v>
      </c>
      <c r="E633" s="426" t="s">
        <v>2073</v>
      </c>
      <c r="F633" s="426" t="s">
        <v>2074</v>
      </c>
      <c r="G633" s="426" t="s">
        <v>2075</v>
      </c>
    </row>
    <row r="634" spans="1:7" s="237" customFormat="1" ht="28.5">
      <c r="A634" s="427" t="s">
        <v>2423</v>
      </c>
      <c r="B634" s="428" t="s">
        <v>2424</v>
      </c>
      <c r="C634" s="427" t="s">
        <v>1400</v>
      </c>
      <c r="D634" s="427" t="s">
        <v>1403</v>
      </c>
      <c r="E634" s="429">
        <v>1</v>
      </c>
      <c r="F634" s="430">
        <v>137.13</v>
      </c>
      <c r="G634" s="430">
        <v>137.13</v>
      </c>
    </row>
    <row r="635" spans="1:7" s="237" customFormat="1" ht="14.25">
      <c r="A635" s="420"/>
      <c r="B635" s="420"/>
      <c r="C635" s="420"/>
      <c r="D635" s="420"/>
      <c r="E635" s="513" t="s">
        <v>2084</v>
      </c>
      <c r="F635" s="513"/>
      <c r="G635" s="431">
        <v>137.13</v>
      </c>
    </row>
    <row r="636" spans="1:7" s="237" customFormat="1" ht="30">
      <c r="A636" s="512" t="s">
        <v>2085</v>
      </c>
      <c r="B636" s="512"/>
      <c r="C636" s="426" t="s">
        <v>2071</v>
      </c>
      <c r="D636" s="426" t="s">
        <v>2072</v>
      </c>
      <c r="E636" s="426" t="s">
        <v>2073</v>
      </c>
      <c r="F636" s="426" t="s">
        <v>2074</v>
      </c>
      <c r="G636" s="426" t="s">
        <v>2075</v>
      </c>
    </row>
    <row r="637" spans="1:7" s="237" customFormat="1" ht="14.25">
      <c r="A637" s="427" t="s">
        <v>2131</v>
      </c>
      <c r="B637" s="428" t="s">
        <v>2132</v>
      </c>
      <c r="C637" s="427" t="s">
        <v>1400</v>
      </c>
      <c r="D637" s="427" t="s">
        <v>2054</v>
      </c>
      <c r="E637" s="429">
        <v>0.6</v>
      </c>
      <c r="F637" s="430">
        <v>36</v>
      </c>
      <c r="G637" s="430">
        <v>21.6</v>
      </c>
    </row>
    <row r="638" spans="1:7" s="237" customFormat="1" ht="14.25">
      <c r="A638" s="427" t="s">
        <v>2088</v>
      </c>
      <c r="B638" s="428" t="s">
        <v>2089</v>
      </c>
      <c r="C638" s="427" t="s">
        <v>1400</v>
      </c>
      <c r="D638" s="427" t="s">
        <v>2054</v>
      </c>
      <c r="E638" s="429">
        <v>0.6</v>
      </c>
      <c r="F638" s="430">
        <v>27.47</v>
      </c>
      <c r="G638" s="430">
        <v>16.48</v>
      </c>
    </row>
    <row r="639" spans="1:7" s="237" customFormat="1" ht="14.25">
      <c r="A639" s="420"/>
      <c r="B639" s="420"/>
      <c r="C639" s="420"/>
      <c r="D639" s="420"/>
      <c r="E639" s="513" t="s">
        <v>2090</v>
      </c>
      <c r="F639" s="513"/>
      <c r="G639" s="431">
        <v>38.08</v>
      </c>
    </row>
    <row r="640" spans="1:7" s="237" customFormat="1">
      <c r="A640" s="420"/>
      <c r="B640" s="420"/>
      <c r="C640" s="420"/>
      <c r="D640" s="420"/>
      <c r="E640" s="483" t="s">
        <v>2095</v>
      </c>
      <c r="F640" s="483"/>
      <c r="G640" s="415">
        <v>175.21</v>
      </c>
    </row>
    <row r="641" spans="1:7" s="237" customFormat="1" ht="14.25">
      <c r="A641" s="420"/>
      <c r="B641" s="420"/>
      <c r="C641" s="514"/>
      <c r="D641" s="514"/>
      <c r="E641" s="420"/>
      <c r="F641" s="420"/>
      <c r="G641" s="420"/>
    </row>
    <row r="642" spans="1:7" s="237" customFormat="1">
      <c r="A642" s="515" t="s">
        <v>2425</v>
      </c>
      <c r="B642" s="515"/>
      <c r="C642" s="515"/>
      <c r="D642" s="515"/>
      <c r="E642" s="515"/>
      <c r="F642" s="515"/>
      <c r="G642" s="515"/>
    </row>
    <row r="643" spans="1:7" s="237" customFormat="1" ht="30">
      <c r="A643" s="512" t="s">
        <v>2070</v>
      </c>
      <c r="B643" s="512"/>
      <c r="C643" s="426" t="s">
        <v>2071</v>
      </c>
      <c r="D643" s="426" t="s">
        <v>2072</v>
      </c>
      <c r="E643" s="426" t="s">
        <v>2073</v>
      </c>
      <c r="F643" s="426" t="s">
        <v>2074</v>
      </c>
      <c r="G643" s="426" t="s">
        <v>2075</v>
      </c>
    </row>
    <row r="644" spans="1:7" s="237" customFormat="1" ht="14.25">
      <c r="A644" s="427" t="s">
        <v>2426</v>
      </c>
      <c r="B644" s="428" t="s">
        <v>2427</v>
      </c>
      <c r="C644" s="427" t="s">
        <v>1400</v>
      </c>
      <c r="D644" s="427" t="s">
        <v>1403</v>
      </c>
      <c r="E644" s="429">
        <v>1</v>
      </c>
      <c r="F644" s="430">
        <v>60.1</v>
      </c>
      <c r="G644" s="430">
        <v>60.1</v>
      </c>
    </row>
    <row r="645" spans="1:7" s="237" customFormat="1" ht="42.75">
      <c r="A645" s="427" t="s">
        <v>2428</v>
      </c>
      <c r="B645" s="428" t="s">
        <v>2429</v>
      </c>
      <c r="C645" s="427" t="s">
        <v>1400</v>
      </c>
      <c r="D645" s="427" t="s">
        <v>1403</v>
      </c>
      <c r="E645" s="429">
        <v>3</v>
      </c>
      <c r="F645" s="430">
        <v>1.98</v>
      </c>
      <c r="G645" s="430">
        <v>5.94</v>
      </c>
    </row>
    <row r="646" spans="1:7" s="237" customFormat="1" ht="14.25">
      <c r="A646" s="420"/>
      <c r="B646" s="420"/>
      <c r="C646" s="420"/>
      <c r="D646" s="420"/>
      <c r="E646" s="513" t="s">
        <v>2084</v>
      </c>
      <c r="F646" s="513"/>
      <c r="G646" s="431">
        <v>66.040000000000006</v>
      </c>
    </row>
    <row r="647" spans="1:7" s="237" customFormat="1" ht="30">
      <c r="A647" s="512" t="s">
        <v>2085</v>
      </c>
      <c r="B647" s="512"/>
      <c r="C647" s="426" t="s">
        <v>2071</v>
      </c>
      <c r="D647" s="426" t="s">
        <v>2072</v>
      </c>
      <c r="E647" s="426" t="s">
        <v>2073</v>
      </c>
      <c r="F647" s="426" t="s">
        <v>2074</v>
      </c>
      <c r="G647" s="426" t="s">
        <v>2075</v>
      </c>
    </row>
    <row r="648" spans="1:7" s="237" customFormat="1" ht="28.5">
      <c r="A648" s="427" t="s">
        <v>2414</v>
      </c>
      <c r="B648" s="428" t="s">
        <v>2415</v>
      </c>
      <c r="C648" s="427" t="s">
        <v>1400</v>
      </c>
      <c r="D648" s="427" t="s">
        <v>2054</v>
      </c>
      <c r="E648" s="429">
        <v>0.56769999999999998</v>
      </c>
      <c r="F648" s="430">
        <v>29.39</v>
      </c>
      <c r="G648" s="430">
        <v>16.68</v>
      </c>
    </row>
    <row r="649" spans="1:7" s="237" customFormat="1" ht="14.25">
      <c r="A649" s="427" t="s">
        <v>2131</v>
      </c>
      <c r="B649" s="428" t="s">
        <v>2132</v>
      </c>
      <c r="C649" s="427" t="s">
        <v>1400</v>
      </c>
      <c r="D649" s="427" t="s">
        <v>2054</v>
      </c>
      <c r="E649" s="429">
        <v>0.56769999999999998</v>
      </c>
      <c r="F649" s="430">
        <v>36</v>
      </c>
      <c r="G649" s="430">
        <v>20.440000000000001</v>
      </c>
    </row>
    <row r="650" spans="1:7" s="237" customFormat="1" ht="14.25">
      <c r="A650" s="420"/>
      <c r="B650" s="420"/>
      <c r="C650" s="420"/>
      <c r="D650" s="420"/>
      <c r="E650" s="513" t="s">
        <v>2090</v>
      </c>
      <c r="F650" s="513"/>
      <c r="G650" s="431">
        <v>37.119999999999997</v>
      </c>
    </row>
    <row r="651" spans="1:7" s="237" customFormat="1">
      <c r="A651" s="420"/>
      <c r="B651" s="420"/>
      <c r="C651" s="420"/>
      <c r="D651" s="420"/>
      <c r="E651" s="483" t="s">
        <v>2095</v>
      </c>
      <c r="F651" s="483"/>
      <c r="G651" s="415">
        <v>103.16</v>
      </c>
    </row>
    <row r="652" spans="1:7" s="237" customFormat="1" ht="14.25">
      <c r="A652" s="420"/>
      <c r="B652" s="420"/>
      <c r="C652" s="514"/>
      <c r="D652" s="514"/>
      <c r="E652" s="420"/>
      <c r="F652" s="420"/>
      <c r="G652" s="420"/>
    </row>
    <row r="653" spans="1:7" s="237" customFormat="1">
      <c r="A653" s="515" t="s">
        <v>2430</v>
      </c>
      <c r="B653" s="515"/>
      <c r="C653" s="515"/>
      <c r="D653" s="515"/>
      <c r="E653" s="515"/>
      <c r="F653" s="515"/>
      <c r="G653" s="515"/>
    </row>
    <row r="654" spans="1:7" s="237" customFormat="1" ht="30">
      <c r="A654" s="512" t="s">
        <v>2070</v>
      </c>
      <c r="B654" s="512"/>
      <c r="C654" s="426" t="s">
        <v>2071</v>
      </c>
      <c r="D654" s="426" t="s">
        <v>2072</v>
      </c>
      <c r="E654" s="426" t="s">
        <v>2073</v>
      </c>
      <c r="F654" s="426" t="s">
        <v>2074</v>
      </c>
      <c r="G654" s="426" t="s">
        <v>2075</v>
      </c>
    </row>
    <row r="655" spans="1:7" s="237" customFormat="1" ht="14.25">
      <c r="A655" s="427" t="s">
        <v>2431</v>
      </c>
      <c r="B655" s="428" t="s">
        <v>2432</v>
      </c>
      <c r="C655" s="427" t="s">
        <v>1400</v>
      </c>
      <c r="D655" s="427" t="s">
        <v>1403</v>
      </c>
      <c r="E655" s="429">
        <v>1</v>
      </c>
      <c r="F655" s="430">
        <v>7.78</v>
      </c>
      <c r="G655" s="430">
        <v>7.78</v>
      </c>
    </row>
    <row r="656" spans="1:7" s="237" customFormat="1" ht="14.25">
      <c r="A656" s="420"/>
      <c r="B656" s="420"/>
      <c r="C656" s="420"/>
      <c r="D656" s="420"/>
      <c r="E656" s="513" t="s">
        <v>2084</v>
      </c>
      <c r="F656" s="513"/>
      <c r="G656" s="431">
        <v>7.78</v>
      </c>
    </row>
    <row r="657" spans="1:7" s="237" customFormat="1" ht="30">
      <c r="A657" s="512" t="s">
        <v>2085</v>
      </c>
      <c r="B657" s="512"/>
      <c r="C657" s="426" t="s">
        <v>2071</v>
      </c>
      <c r="D657" s="426" t="s">
        <v>2072</v>
      </c>
      <c r="E657" s="426" t="s">
        <v>2073</v>
      </c>
      <c r="F657" s="426" t="s">
        <v>2074</v>
      </c>
      <c r="G657" s="426" t="s">
        <v>2075</v>
      </c>
    </row>
    <row r="658" spans="1:7" s="237" customFormat="1" ht="28.5">
      <c r="A658" s="427" t="s">
        <v>2414</v>
      </c>
      <c r="B658" s="428" t="s">
        <v>2415</v>
      </c>
      <c r="C658" s="427" t="s">
        <v>1400</v>
      </c>
      <c r="D658" s="427" t="s">
        <v>2054</v>
      </c>
      <c r="E658" s="429">
        <v>0.15</v>
      </c>
      <c r="F658" s="430">
        <v>29.39</v>
      </c>
      <c r="G658" s="430">
        <v>4.41</v>
      </c>
    </row>
    <row r="659" spans="1:7" s="237" customFormat="1" ht="14.25">
      <c r="A659" s="427" t="s">
        <v>2131</v>
      </c>
      <c r="B659" s="428" t="s">
        <v>2132</v>
      </c>
      <c r="C659" s="427" t="s">
        <v>1400</v>
      </c>
      <c r="D659" s="427" t="s">
        <v>2054</v>
      </c>
      <c r="E659" s="429">
        <v>0.15</v>
      </c>
      <c r="F659" s="430">
        <v>36</v>
      </c>
      <c r="G659" s="430">
        <v>5.4</v>
      </c>
    </row>
    <row r="660" spans="1:7" s="237" customFormat="1" ht="14.25">
      <c r="A660" s="420"/>
      <c r="B660" s="420"/>
      <c r="C660" s="420"/>
      <c r="D660" s="420"/>
      <c r="E660" s="513" t="s">
        <v>2090</v>
      </c>
      <c r="F660" s="513"/>
      <c r="G660" s="431">
        <v>9.81</v>
      </c>
    </row>
    <row r="661" spans="1:7" s="237" customFormat="1">
      <c r="A661" s="420"/>
      <c r="B661" s="420"/>
      <c r="C661" s="420"/>
      <c r="D661" s="420"/>
      <c r="E661" s="483" t="s">
        <v>2095</v>
      </c>
      <c r="F661" s="483"/>
      <c r="G661" s="415">
        <v>17.59</v>
      </c>
    </row>
    <row r="662" spans="1:7" s="237" customFormat="1" ht="14.25">
      <c r="A662" s="420"/>
      <c r="B662" s="420"/>
      <c r="C662" s="514"/>
      <c r="D662" s="514"/>
      <c r="E662" s="420"/>
      <c r="F662" s="420"/>
      <c r="G662" s="420"/>
    </row>
    <row r="663" spans="1:7" s="237" customFormat="1">
      <c r="A663" s="515" t="s">
        <v>2433</v>
      </c>
      <c r="B663" s="515"/>
      <c r="C663" s="515"/>
      <c r="D663" s="515"/>
      <c r="E663" s="515"/>
      <c r="F663" s="515"/>
      <c r="G663" s="515"/>
    </row>
    <row r="664" spans="1:7" s="237" customFormat="1" ht="30">
      <c r="A664" s="512" t="s">
        <v>2070</v>
      </c>
      <c r="B664" s="512"/>
      <c r="C664" s="426" t="s">
        <v>2071</v>
      </c>
      <c r="D664" s="426" t="s">
        <v>2072</v>
      </c>
      <c r="E664" s="426" t="s">
        <v>2073</v>
      </c>
      <c r="F664" s="426" t="s">
        <v>2074</v>
      </c>
      <c r="G664" s="426" t="s">
        <v>2075</v>
      </c>
    </row>
    <row r="665" spans="1:7" s="237" customFormat="1" ht="28.5">
      <c r="A665" s="427" t="s">
        <v>2434</v>
      </c>
      <c r="B665" s="428" t="s">
        <v>2435</v>
      </c>
      <c r="C665" s="427" t="s">
        <v>1400</v>
      </c>
      <c r="D665" s="427" t="s">
        <v>1403</v>
      </c>
      <c r="E665" s="429">
        <v>4.2000000000000003E-2</v>
      </c>
      <c r="F665" s="430">
        <v>9.4499999999999993</v>
      </c>
      <c r="G665" s="430">
        <v>0.4</v>
      </c>
    </row>
    <row r="666" spans="1:7" s="237" customFormat="1" ht="28.5">
      <c r="A666" s="427" t="s">
        <v>2436</v>
      </c>
      <c r="B666" s="428" t="s">
        <v>2437</v>
      </c>
      <c r="C666" s="427" t="s">
        <v>1400</v>
      </c>
      <c r="D666" s="427" t="s">
        <v>1403</v>
      </c>
      <c r="E666" s="429">
        <v>1</v>
      </c>
      <c r="F666" s="430">
        <v>46.88</v>
      </c>
      <c r="G666" s="430">
        <v>46.88</v>
      </c>
    </row>
    <row r="667" spans="1:7" s="237" customFormat="1" ht="14.25">
      <c r="A667" s="420"/>
      <c r="B667" s="420"/>
      <c r="C667" s="420"/>
      <c r="D667" s="420"/>
      <c r="E667" s="513" t="s">
        <v>2084</v>
      </c>
      <c r="F667" s="513"/>
      <c r="G667" s="431">
        <v>47.28</v>
      </c>
    </row>
    <row r="668" spans="1:7" s="237" customFormat="1" ht="30">
      <c r="A668" s="512" t="s">
        <v>2085</v>
      </c>
      <c r="B668" s="512"/>
      <c r="C668" s="426" t="s">
        <v>2071</v>
      </c>
      <c r="D668" s="426" t="s">
        <v>2072</v>
      </c>
      <c r="E668" s="426" t="s">
        <v>2073</v>
      </c>
      <c r="F668" s="426" t="s">
        <v>2074</v>
      </c>
      <c r="G668" s="426" t="s">
        <v>2075</v>
      </c>
    </row>
    <row r="669" spans="1:7" s="237" customFormat="1" ht="28.5">
      <c r="A669" s="427" t="s">
        <v>2414</v>
      </c>
      <c r="B669" s="428" t="s">
        <v>2415</v>
      </c>
      <c r="C669" s="427" t="s">
        <v>1400</v>
      </c>
      <c r="D669" s="427" t="s">
        <v>2054</v>
      </c>
      <c r="E669" s="429">
        <v>0.58879999999999999</v>
      </c>
      <c r="F669" s="430">
        <v>29.39</v>
      </c>
      <c r="G669" s="430">
        <v>17.3</v>
      </c>
    </row>
    <row r="670" spans="1:7" s="237" customFormat="1" ht="14.25">
      <c r="A670" s="427" t="s">
        <v>2131</v>
      </c>
      <c r="B670" s="428" t="s">
        <v>2132</v>
      </c>
      <c r="C670" s="427" t="s">
        <v>1400</v>
      </c>
      <c r="D670" s="427" t="s">
        <v>2054</v>
      </c>
      <c r="E670" s="429">
        <v>0.58879999999999999</v>
      </c>
      <c r="F670" s="430">
        <v>36</v>
      </c>
      <c r="G670" s="430">
        <v>21.2</v>
      </c>
    </row>
    <row r="671" spans="1:7" s="237" customFormat="1" ht="14.25">
      <c r="A671" s="420"/>
      <c r="B671" s="420"/>
      <c r="C671" s="420"/>
      <c r="D671" s="420"/>
      <c r="E671" s="513" t="s">
        <v>2090</v>
      </c>
      <c r="F671" s="513"/>
      <c r="G671" s="431">
        <v>38.5</v>
      </c>
    </row>
    <row r="672" spans="1:7" s="237" customFormat="1">
      <c r="A672" s="420"/>
      <c r="B672" s="420"/>
      <c r="C672" s="420"/>
      <c r="D672" s="420"/>
      <c r="E672" s="483" t="s">
        <v>2095</v>
      </c>
      <c r="F672" s="483"/>
      <c r="G672" s="415">
        <v>85.78</v>
      </c>
    </row>
    <row r="673" spans="1:7" s="237" customFormat="1" ht="14.25">
      <c r="A673" s="420"/>
      <c r="B673" s="420"/>
      <c r="C673" s="514"/>
      <c r="D673" s="514"/>
      <c r="E673" s="420"/>
      <c r="F673" s="420"/>
      <c r="G673" s="420"/>
    </row>
    <row r="674" spans="1:7" s="237" customFormat="1">
      <c r="A674" s="515" t="s">
        <v>2438</v>
      </c>
      <c r="B674" s="515"/>
      <c r="C674" s="515"/>
      <c r="D674" s="515"/>
      <c r="E674" s="515"/>
      <c r="F674" s="515"/>
      <c r="G674" s="515"/>
    </row>
    <row r="675" spans="1:7" s="237" customFormat="1" ht="30">
      <c r="A675" s="512" t="s">
        <v>2070</v>
      </c>
      <c r="B675" s="512"/>
      <c r="C675" s="426" t="s">
        <v>2071</v>
      </c>
      <c r="D675" s="426" t="s">
        <v>2072</v>
      </c>
      <c r="E675" s="426" t="s">
        <v>2073</v>
      </c>
      <c r="F675" s="426" t="s">
        <v>2074</v>
      </c>
      <c r="G675" s="426" t="s">
        <v>2075</v>
      </c>
    </row>
    <row r="676" spans="1:7" s="237" customFormat="1" ht="28.5">
      <c r="A676" s="427" t="s">
        <v>2439</v>
      </c>
      <c r="B676" s="428" t="s">
        <v>2440</v>
      </c>
      <c r="C676" s="427" t="s">
        <v>1400</v>
      </c>
      <c r="D676" s="427" t="s">
        <v>1416</v>
      </c>
      <c r="E676" s="429">
        <v>1</v>
      </c>
      <c r="F676" s="430">
        <v>3.65</v>
      </c>
      <c r="G676" s="430">
        <v>3.65</v>
      </c>
    </row>
    <row r="677" spans="1:7" s="237" customFormat="1" ht="14.25">
      <c r="A677" s="420"/>
      <c r="B677" s="420"/>
      <c r="C677" s="420"/>
      <c r="D677" s="420"/>
      <c r="E677" s="513" t="s">
        <v>2084</v>
      </c>
      <c r="F677" s="513"/>
      <c r="G677" s="431">
        <v>3.65</v>
      </c>
    </row>
    <row r="678" spans="1:7" s="237" customFormat="1" ht="30">
      <c r="A678" s="512" t="s">
        <v>2085</v>
      </c>
      <c r="B678" s="512"/>
      <c r="C678" s="426" t="s">
        <v>2071</v>
      </c>
      <c r="D678" s="426" t="s">
        <v>2072</v>
      </c>
      <c r="E678" s="426" t="s">
        <v>2073</v>
      </c>
      <c r="F678" s="426" t="s">
        <v>2074</v>
      </c>
      <c r="G678" s="426" t="s">
        <v>2075</v>
      </c>
    </row>
    <row r="679" spans="1:7" s="237" customFormat="1" ht="28.5">
      <c r="A679" s="427" t="s">
        <v>2414</v>
      </c>
      <c r="B679" s="428" t="s">
        <v>2415</v>
      </c>
      <c r="C679" s="427" t="s">
        <v>1400</v>
      </c>
      <c r="D679" s="427" t="s">
        <v>2054</v>
      </c>
      <c r="E679" s="429">
        <v>0.25</v>
      </c>
      <c r="F679" s="430">
        <v>29.39</v>
      </c>
      <c r="G679" s="430">
        <v>7.35</v>
      </c>
    </row>
    <row r="680" spans="1:7" s="237" customFormat="1" ht="14.25">
      <c r="A680" s="427" t="s">
        <v>2131</v>
      </c>
      <c r="B680" s="428" t="s">
        <v>2132</v>
      </c>
      <c r="C680" s="427" t="s">
        <v>1400</v>
      </c>
      <c r="D680" s="427" t="s">
        <v>2054</v>
      </c>
      <c r="E680" s="429">
        <v>0.25</v>
      </c>
      <c r="F680" s="430">
        <v>36</v>
      </c>
      <c r="G680" s="430">
        <v>9</v>
      </c>
    </row>
    <row r="681" spans="1:7" s="237" customFormat="1" ht="14.25">
      <c r="A681" s="420"/>
      <c r="B681" s="420"/>
      <c r="C681" s="420"/>
      <c r="D681" s="420"/>
      <c r="E681" s="513" t="s">
        <v>2090</v>
      </c>
      <c r="F681" s="513"/>
      <c r="G681" s="431">
        <v>16.350000000000001</v>
      </c>
    </row>
    <row r="682" spans="1:7" s="237" customFormat="1">
      <c r="A682" s="420"/>
      <c r="B682" s="420"/>
      <c r="C682" s="420"/>
      <c r="D682" s="420"/>
      <c r="E682" s="483" t="s">
        <v>2095</v>
      </c>
      <c r="F682" s="483"/>
      <c r="G682" s="415">
        <v>20</v>
      </c>
    </row>
    <row r="683" spans="1:7" s="237" customFormat="1" ht="14.25">
      <c r="A683" s="420"/>
      <c r="B683" s="420"/>
      <c r="C683" s="514"/>
      <c r="D683" s="514"/>
      <c r="E683" s="420"/>
      <c r="F683" s="420"/>
      <c r="G683" s="420"/>
    </row>
    <row r="684" spans="1:7" s="237" customFormat="1">
      <c r="A684" s="515" t="s">
        <v>2441</v>
      </c>
      <c r="B684" s="515"/>
      <c r="C684" s="515"/>
      <c r="D684" s="515"/>
      <c r="E684" s="515"/>
      <c r="F684" s="515"/>
      <c r="G684" s="515"/>
    </row>
    <row r="685" spans="1:7" s="237" customFormat="1" ht="30">
      <c r="A685" s="512" t="s">
        <v>2070</v>
      </c>
      <c r="B685" s="512"/>
      <c r="C685" s="426" t="s">
        <v>2071</v>
      </c>
      <c r="D685" s="426" t="s">
        <v>2072</v>
      </c>
      <c r="E685" s="426" t="s">
        <v>2073</v>
      </c>
      <c r="F685" s="426" t="s">
        <v>2074</v>
      </c>
      <c r="G685" s="426" t="s">
        <v>2075</v>
      </c>
    </row>
    <row r="686" spans="1:7" s="237" customFormat="1" ht="42.75">
      <c r="A686" s="427" t="s">
        <v>2442</v>
      </c>
      <c r="B686" s="428" t="s">
        <v>2005</v>
      </c>
      <c r="C686" s="427" t="s">
        <v>1400</v>
      </c>
      <c r="D686" s="427" t="s">
        <v>1403</v>
      </c>
      <c r="E686" s="429">
        <v>1</v>
      </c>
      <c r="F686" s="430">
        <v>6.98</v>
      </c>
      <c r="G686" s="430">
        <v>6.98</v>
      </c>
    </row>
    <row r="687" spans="1:7" s="237" customFormat="1" ht="14.25">
      <c r="A687" s="420"/>
      <c r="B687" s="420"/>
      <c r="C687" s="420"/>
      <c r="D687" s="420"/>
      <c r="E687" s="513" t="s">
        <v>2084</v>
      </c>
      <c r="F687" s="513"/>
      <c r="G687" s="431">
        <v>6.98</v>
      </c>
    </row>
    <row r="688" spans="1:7" s="237" customFormat="1" ht="30">
      <c r="A688" s="512" t="s">
        <v>2085</v>
      </c>
      <c r="B688" s="512"/>
      <c r="C688" s="426" t="s">
        <v>2071</v>
      </c>
      <c r="D688" s="426" t="s">
        <v>2072</v>
      </c>
      <c r="E688" s="426" t="s">
        <v>2073</v>
      </c>
      <c r="F688" s="426" t="s">
        <v>2074</v>
      </c>
      <c r="G688" s="426" t="s">
        <v>2075</v>
      </c>
    </row>
    <row r="689" spans="1:7" s="237" customFormat="1" ht="28.5">
      <c r="A689" s="427" t="s">
        <v>2414</v>
      </c>
      <c r="B689" s="428" t="s">
        <v>2415</v>
      </c>
      <c r="C689" s="427" t="s">
        <v>1400</v>
      </c>
      <c r="D689" s="427" t="s">
        <v>2054</v>
      </c>
      <c r="E689" s="429">
        <v>0.25</v>
      </c>
      <c r="F689" s="430">
        <v>29.39</v>
      </c>
      <c r="G689" s="430">
        <v>7.35</v>
      </c>
    </row>
    <row r="690" spans="1:7" s="237" customFormat="1" ht="14.25">
      <c r="A690" s="427" t="s">
        <v>2131</v>
      </c>
      <c r="B690" s="428" t="s">
        <v>2132</v>
      </c>
      <c r="C690" s="427" t="s">
        <v>1400</v>
      </c>
      <c r="D690" s="427" t="s">
        <v>2054</v>
      </c>
      <c r="E690" s="429">
        <v>0.25</v>
      </c>
      <c r="F690" s="430">
        <v>36</v>
      </c>
      <c r="G690" s="430">
        <v>9</v>
      </c>
    </row>
    <row r="691" spans="1:7" s="237" customFormat="1" ht="14.25">
      <c r="A691" s="420"/>
      <c r="B691" s="420"/>
      <c r="C691" s="420"/>
      <c r="D691" s="420"/>
      <c r="E691" s="513" t="s">
        <v>2090</v>
      </c>
      <c r="F691" s="513"/>
      <c r="G691" s="431">
        <v>16.350000000000001</v>
      </c>
    </row>
    <row r="692" spans="1:7" s="237" customFormat="1">
      <c r="A692" s="420"/>
      <c r="B692" s="420"/>
      <c r="C692" s="420"/>
      <c r="D692" s="420"/>
      <c r="E692" s="483" t="s">
        <v>2095</v>
      </c>
      <c r="F692" s="483"/>
      <c r="G692" s="415">
        <v>23.33</v>
      </c>
    </row>
    <row r="693" spans="1:7" s="237" customFormat="1" ht="14.25">
      <c r="A693" s="420"/>
      <c r="B693" s="420"/>
      <c r="C693" s="514"/>
      <c r="D693" s="514"/>
      <c r="E693" s="420"/>
      <c r="F693" s="420"/>
      <c r="G693" s="420"/>
    </row>
    <row r="694" spans="1:7" s="237" customFormat="1" ht="30" customHeight="1">
      <c r="A694" s="515" t="s">
        <v>2443</v>
      </c>
      <c r="B694" s="515"/>
      <c r="C694" s="515"/>
      <c r="D694" s="515"/>
      <c r="E694" s="515"/>
      <c r="F694" s="515"/>
      <c r="G694" s="515"/>
    </row>
    <row r="695" spans="1:7" s="237" customFormat="1" ht="30">
      <c r="A695" s="512" t="s">
        <v>2070</v>
      </c>
      <c r="B695" s="512"/>
      <c r="C695" s="426" t="s">
        <v>2071</v>
      </c>
      <c r="D695" s="426" t="s">
        <v>2072</v>
      </c>
      <c r="E695" s="426" t="s">
        <v>2073</v>
      </c>
      <c r="F695" s="426" t="s">
        <v>2074</v>
      </c>
      <c r="G695" s="426" t="s">
        <v>2075</v>
      </c>
    </row>
    <row r="696" spans="1:7" s="237" customFormat="1" ht="42.75">
      <c r="A696" s="427" t="s">
        <v>2444</v>
      </c>
      <c r="B696" s="428" t="s">
        <v>2445</v>
      </c>
      <c r="C696" s="427" t="s">
        <v>1400</v>
      </c>
      <c r="D696" s="427" t="s">
        <v>1403</v>
      </c>
      <c r="E696" s="429">
        <v>1</v>
      </c>
      <c r="F696" s="430">
        <v>643.4</v>
      </c>
      <c r="G696" s="430">
        <v>643.4</v>
      </c>
    </row>
    <row r="697" spans="1:7" s="237" customFormat="1" ht="14.25">
      <c r="A697" s="420"/>
      <c r="B697" s="420"/>
      <c r="C697" s="420"/>
      <c r="D697" s="420"/>
      <c r="E697" s="513" t="s">
        <v>2084</v>
      </c>
      <c r="F697" s="513"/>
      <c r="G697" s="431">
        <v>643.4</v>
      </c>
    </row>
    <row r="698" spans="1:7" s="237" customFormat="1" ht="30">
      <c r="A698" s="512" t="s">
        <v>2085</v>
      </c>
      <c r="B698" s="512"/>
      <c r="C698" s="426" t="s">
        <v>2071</v>
      </c>
      <c r="D698" s="426" t="s">
        <v>2072</v>
      </c>
      <c r="E698" s="426" t="s">
        <v>2073</v>
      </c>
      <c r="F698" s="426" t="s">
        <v>2074</v>
      </c>
      <c r="G698" s="426" t="s">
        <v>2075</v>
      </c>
    </row>
    <row r="699" spans="1:7" s="237" customFormat="1" ht="14.25">
      <c r="A699" s="427" t="s">
        <v>2181</v>
      </c>
      <c r="B699" s="428" t="s">
        <v>2182</v>
      </c>
      <c r="C699" s="427" t="s">
        <v>1400</v>
      </c>
      <c r="D699" s="427" t="s">
        <v>2054</v>
      </c>
      <c r="E699" s="429">
        <v>2</v>
      </c>
      <c r="F699" s="430">
        <v>35.81</v>
      </c>
      <c r="G699" s="430">
        <v>71.62</v>
      </c>
    </row>
    <row r="700" spans="1:7" s="237" customFormat="1" ht="14.25">
      <c r="A700" s="427" t="s">
        <v>2088</v>
      </c>
      <c r="B700" s="428" t="s">
        <v>2089</v>
      </c>
      <c r="C700" s="427" t="s">
        <v>1400</v>
      </c>
      <c r="D700" s="427" t="s">
        <v>2054</v>
      </c>
      <c r="E700" s="429">
        <v>2</v>
      </c>
      <c r="F700" s="430">
        <v>27.47</v>
      </c>
      <c r="G700" s="430">
        <v>54.94</v>
      </c>
    </row>
    <row r="701" spans="1:7" s="237" customFormat="1" ht="14.25">
      <c r="A701" s="420"/>
      <c r="B701" s="420"/>
      <c r="C701" s="420"/>
      <c r="D701" s="420"/>
      <c r="E701" s="513" t="s">
        <v>2090</v>
      </c>
      <c r="F701" s="513"/>
      <c r="G701" s="431">
        <v>126.56</v>
      </c>
    </row>
    <row r="702" spans="1:7" s="237" customFormat="1" ht="30">
      <c r="A702" s="512" t="s">
        <v>2091</v>
      </c>
      <c r="B702" s="512"/>
      <c r="C702" s="426" t="s">
        <v>2071</v>
      </c>
      <c r="D702" s="426" t="s">
        <v>2072</v>
      </c>
      <c r="E702" s="426" t="s">
        <v>2073</v>
      </c>
      <c r="F702" s="426" t="s">
        <v>2074</v>
      </c>
      <c r="G702" s="426" t="s">
        <v>2075</v>
      </c>
    </row>
    <row r="703" spans="1:7" s="237" customFormat="1" ht="42.75">
      <c r="A703" s="427" t="s">
        <v>2366</v>
      </c>
      <c r="B703" s="428" t="s">
        <v>2367</v>
      </c>
      <c r="C703" s="427" t="s">
        <v>1400</v>
      </c>
      <c r="D703" s="427" t="s">
        <v>1422</v>
      </c>
      <c r="E703" s="429">
        <v>5.0000000000000001E-3</v>
      </c>
      <c r="F703" s="430">
        <v>455.23</v>
      </c>
      <c r="G703" s="430">
        <v>2.2799999999999998</v>
      </c>
    </row>
    <row r="704" spans="1:7" s="237" customFormat="1" ht="14.25">
      <c r="A704" s="420"/>
      <c r="B704" s="420"/>
      <c r="C704" s="420"/>
      <c r="D704" s="420"/>
      <c r="E704" s="513" t="s">
        <v>2094</v>
      </c>
      <c r="F704" s="513"/>
      <c r="G704" s="431">
        <v>2.2799999999999998</v>
      </c>
    </row>
    <row r="705" spans="1:7" s="237" customFormat="1">
      <c r="A705" s="420"/>
      <c r="B705" s="420"/>
      <c r="C705" s="420"/>
      <c r="D705" s="420"/>
      <c r="E705" s="483" t="s">
        <v>2095</v>
      </c>
      <c r="F705" s="483"/>
      <c r="G705" s="415">
        <v>772.24</v>
      </c>
    </row>
    <row r="706" spans="1:7" s="237" customFormat="1" ht="14.25">
      <c r="A706" s="420"/>
      <c r="B706" s="420"/>
      <c r="C706" s="514"/>
      <c r="D706" s="514"/>
      <c r="E706" s="420"/>
      <c r="F706" s="420"/>
      <c r="G706" s="420"/>
    </row>
    <row r="707" spans="1:7" s="237" customFormat="1">
      <c r="A707" s="515" t="s">
        <v>2446</v>
      </c>
      <c r="B707" s="515"/>
      <c r="C707" s="515"/>
      <c r="D707" s="515"/>
      <c r="E707" s="515"/>
      <c r="F707" s="515"/>
      <c r="G707" s="515"/>
    </row>
    <row r="708" spans="1:7" s="237" customFormat="1" ht="30">
      <c r="A708" s="512" t="s">
        <v>2070</v>
      </c>
      <c r="B708" s="512"/>
      <c r="C708" s="426" t="s">
        <v>2071</v>
      </c>
      <c r="D708" s="426" t="s">
        <v>2072</v>
      </c>
      <c r="E708" s="426" t="s">
        <v>2073</v>
      </c>
      <c r="F708" s="426" t="s">
        <v>2074</v>
      </c>
      <c r="G708" s="426" t="s">
        <v>2075</v>
      </c>
    </row>
    <row r="709" spans="1:7" s="237" customFormat="1" ht="28.5">
      <c r="A709" s="427" t="s">
        <v>2447</v>
      </c>
      <c r="B709" s="428" t="s">
        <v>2448</v>
      </c>
      <c r="C709" s="427" t="s">
        <v>1400</v>
      </c>
      <c r="D709" s="427" t="s">
        <v>1403</v>
      </c>
      <c r="E709" s="429">
        <v>1</v>
      </c>
      <c r="F709" s="430">
        <v>3</v>
      </c>
      <c r="G709" s="430">
        <v>3</v>
      </c>
    </row>
    <row r="710" spans="1:7" s="237" customFormat="1" ht="14.25">
      <c r="A710" s="420"/>
      <c r="B710" s="420"/>
      <c r="C710" s="420"/>
      <c r="D710" s="420"/>
      <c r="E710" s="513" t="s">
        <v>2084</v>
      </c>
      <c r="F710" s="513"/>
      <c r="G710" s="431">
        <v>3</v>
      </c>
    </row>
    <row r="711" spans="1:7" s="237" customFormat="1" ht="30">
      <c r="A711" s="512" t="s">
        <v>2085</v>
      </c>
      <c r="B711" s="512"/>
      <c r="C711" s="426" t="s">
        <v>2071</v>
      </c>
      <c r="D711" s="426" t="s">
        <v>2072</v>
      </c>
      <c r="E711" s="426" t="s">
        <v>2073</v>
      </c>
      <c r="F711" s="426" t="s">
        <v>2074</v>
      </c>
      <c r="G711" s="426" t="s">
        <v>2075</v>
      </c>
    </row>
    <row r="712" spans="1:7" s="237" customFormat="1" ht="14.25">
      <c r="A712" s="427" t="s">
        <v>2131</v>
      </c>
      <c r="B712" s="428" t="s">
        <v>2132</v>
      </c>
      <c r="C712" s="427" t="s">
        <v>1400</v>
      </c>
      <c r="D712" s="427" t="s">
        <v>2054</v>
      </c>
      <c r="E712" s="429">
        <v>0.01</v>
      </c>
      <c r="F712" s="430">
        <v>36</v>
      </c>
      <c r="G712" s="430">
        <v>0.36</v>
      </c>
    </row>
    <row r="713" spans="1:7" s="237" customFormat="1" ht="14.25">
      <c r="A713" s="420"/>
      <c r="B713" s="420"/>
      <c r="C713" s="420"/>
      <c r="D713" s="420"/>
      <c r="E713" s="513" t="s">
        <v>2090</v>
      </c>
      <c r="F713" s="513"/>
      <c r="G713" s="431">
        <v>0.36</v>
      </c>
    </row>
    <row r="714" spans="1:7" s="237" customFormat="1">
      <c r="A714" s="420"/>
      <c r="B714" s="420"/>
      <c r="C714" s="420"/>
      <c r="D714" s="420"/>
      <c r="E714" s="483" t="s">
        <v>2095</v>
      </c>
      <c r="F714" s="483"/>
      <c r="G714" s="415">
        <v>3.36</v>
      </c>
    </row>
    <row r="715" spans="1:7" s="237" customFormat="1" ht="14.25">
      <c r="A715" s="420"/>
      <c r="B715" s="420"/>
      <c r="C715" s="514"/>
      <c r="D715" s="514"/>
      <c r="E715" s="420"/>
      <c r="F715" s="420"/>
      <c r="G715" s="420"/>
    </row>
    <row r="716" spans="1:7" s="237" customFormat="1">
      <c r="A716" s="515" t="s">
        <v>2449</v>
      </c>
      <c r="B716" s="515"/>
      <c r="C716" s="515"/>
      <c r="D716" s="515"/>
      <c r="E716" s="515"/>
      <c r="F716" s="515"/>
      <c r="G716" s="515"/>
    </row>
    <row r="717" spans="1:7" s="237" customFormat="1" ht="30">
      <c r="A717" s="512" t="s">
        <v>2070</v>
      </c>
      <c r="B717" s="512"/>
      <c r="C717" s="426" t="s">
        <v>2071</v>
      </c>
      <c r="D717" s="426" t="s">
        <v>2072</v>
      </c>
      <c r="E717" s="426" t="s">
        <v>2073</v>
      </c>
      <c r="F717" s="426" t="s">
        <v>2074</v>
      </c>
      <c r="G717" s="426" t="s">
        <v>2075</v>
      </c>
    </row>
    <row r="718" spans="1:7" s="237" customFormat="1" ht="42.75">
      <c r="A718" s="427" t="s">
        <v>2450</v>
      </c>
      <c r="B718" s="428" t="s">
        <v>2451</v>
      </c>
      <c r="C718" s="427" t="s">
        <v>1400</v>
      </c>
      <c r="D718" s="427" t="s">
        <v>1403</v>
      </c>
      <c r="E718" s="429">
        <v>6</v>
      </c>
      <c r="F718" s="430">
        <v>0.92</v>
      </c>
      <c r="G718" s="430">
        <v>5.52</v>
      </c>
    </row>
    <row r="719" spans="1:7" s="237" customFormat="1" ht="42.75">
      <c r="A719" s="427" t="s">
        <v>2452</v>
      </c>
      <c r="B719" s="428" t="s">
        <v>2453</v>
      </c>
      <c r="C719" s="427" t="s">
        <v>1400</v>
      </c>
      <c r="D719" s="427" t="s">
        <v>1398</v>
      </c>
      <c r="E719" s="429">
        <v>1.117</v>
      </c>
      <c r="F719" s="430">
        <v>671.69</v>
      </c>
      <c r="G719" s="430">
        <v>750.28</v>
      </c>
    </row>
    <row r="720" spans="1:7" s="237" customFormat="1" ht="14.25">
      <c r="A720" s="427" t="s">
        <v>2454</v>
      </c>
      <c r="B720" s="428" t="s">
        <v>2455</v>
      </c>
      <c r="C720" s="427" t="s">
        <v>1400</v>
      </c>
      <c r="D720" s="427" t="s">
        <v>1452</v>
      </c>
      <c r="E720" s="429">
        <v>0.58089999999999997</v>
      </c>
      <c r="F720" s="430">
        <v>42.33</v>
      </c>
      <c r="G720" s="430">
        <v>24.59</v>
      </c>
    </row>
    <row r="721" spans="1:7" s="237" customFormat="1" ht="14.25">
      <c r="A721" s="427" t="s">
        <v>2456</v>
      </c>
      <c r="B721" s="428" t="s">
        <v>2457</v>
      </c>
      <c r="C721" s="427" t="s">
        <v>1400</v>
      </c>
      <c r="D721" s="427" t="s">
        <v>1452</v>
      </c>
      <c r="E721" s="429">
        <v>2.3400000000000001E-2</v>
      </c>
      <c r="F721" s="430">
        <v>95.22</v>
      </c>
      <c r="G721" s="430">
        <v>2.23</v>
      </c>
    </row>
    <row r="722" spans="1:7" s="237" customFormat="1" ht="28.5">
      <c r="A722" s="427" t="s">
        <v>2458</v>
      </c>
      <c r="B722" s="428" t="s">
        <v>2459</v>
      </c>
      <c r="C722" s="427" t="s">
        <v>1400</v>
      </c>
      <c r="D722" s="427" t="s">
        <v>1403</v>
      </c>
      <c r="E722" s="429">
        <v>2</v>
      </c>
      <c r="F722" s="430">
        <v>23.63</v>
      </c>
      <c r="G722" s="430">
        <v>47.26</v>
      </c>
    </row>
    <row r="723" spans="1:7" s="237" customFormat="1" ht="14.25">
      <c r="A723" s="420"/>
      <c r="B723" s="420"/>
      <c r="C723" s="420"/>
      <c r="D723" s="420"/>
      <c r="E723" s="513" t="s">
        <v>2084</v>
      </c>
      <c r="F723" s="513"/>
      <c r="G723" s="431">
        <v>829.88</v>
      </c>
    </row>
    <row r="724" spans="1:7" s="237" customFormat="1" ht="30">
      <c r="A724" s="512" t="s">
        <v>2085</v>
      </c>
      <c r="B724" s="512"/>
      <c r="C724" s="426" t="s">
        <v>2071</v>
      </c>
      <c r="D724" s="426" t="s">
        <v>2072</v>
      </c>
      <c r="E724" s="426" t="s">
        <v>2073</v>
      </c>
      <c r="F724" s="426" t="s">
        <v>2074</v>
      </c>
      <c r="G724" s="426" t="s">
        <v>2075</v>
      </c>
    </row>
    <row r="725" spans="1:7" s="237" customFormat="1" ht="28.5">
      <c r="A725" s="427" t="s">
        <v>2460</v>
      </c>
      <c r="B725" s="428" t="s">
        <v>2461</v>
      </c>
      <c r="C725" s="427" t="s">
        <v>1400</v>
      </c>
      <c r="D725" s="427" t="s">
        <v>2054</v>
      </c>
      <c r="E725" s="429">
        <v>1.66</v>
      </c>
      <c r="F725" s="430">
        <v>29.46</v>
      </c>
      <c r="G725" s="430">
        <v>48.9</v>
      </c>
    </row>
    <row r="726" spans="1:7" s="237" customFormat="1" ht="14.25">
      <c r="A726" s="427" t="s">
        <v>2088</v>
      </c>
      <c r="B726" s="428" t="s">
        <v>2089</v>
      </c>
      <c r="C726" s="427" t="s">
        <v>1400</v>
      </c>
      <c r="D726" s="427" t="s">
        <v>2054</v>
      </c>
      <c r="E726" s="429">
        <v>1.093</v>
      </c>
      <c r="F726" s="430">
        <v>27.47</v>
      </c>
      <c r="G726" s="430">
        <v>30.02</v>
      </c>
    </row>
    <row r="727" spans="1:7" s="237" customFormat="1" ht="14.25">
      <c r="A727" s="420"/>
      <c r="B727" s="420"/>
      <c r="C727" s="420"/>
      <c r="D727" s="420"/>
      <c r="E727" s="513" t="s">
        <v>2090</v>
      </c>
      <c r="F727" s="513"/>
      <c r="G727" s="431">
        <v>78.92</v>
      </c>
    </row>
    <row r="728" spans="1:7" s="237" customFormat="1">
      <c r="A728" s="420"/>
      <c r="B728" s="420"/>
      <c r="C728" s="420"/>
      <c r="D728" s="420"/>
      <c r="E728" s="483" t="s">
        <v>2095</v>
      </c>
      <c r="F728" s="483"/>
      <c r="G728" s="415">
        <v>908.8</v>
      </c>
    </row>
    <row r="729" spans="1:7" s="237" customFormat="1" ht="14.25">
      <c r="A729" s="420"/>
      <c r="B729" s="420"/>
      <c r="C729" s="514"/>
      <c r="D729" s="514"/>
      <c r="E729" s="420"/>
      <c r="F729" s="420"/>
      <c r="G729" s="420"/>
    </row>
    <row r="730" spans="1:7" s="237" customFormat="1">
      <c r="A730" s="515" t="s">
        <v>2462</v>
      </c>
      <c r="B730" s="515"/>
      <c r="C730" s="515"/>
      <c r="D730" s="515"/>
      <c r="E730" s="515"/>
      <c r="F730" s="515"/>
      <c r="G730" s="515"/>
    </row>
    <row r="731" spans="1:7" s="237" customFormat="1" ht="30">
      <c r="A731" s="512" t="s">
        <v>2091</v>
      </c>
      <c r="B731" s="512"/>
      <c r="C731" s="426" t="s">
        <v>2071</v>
      </c>
      <c r="D731" s="426" t="s">
        <v>2072</v>
      </c>
      <c r="E731" s="426" t="s">
        <v>2073</v>
      </c>
      <c r="F731" s="426" t="s">
        <v>2074</v>
      </c>
      <c r="G731" s="426" t="s">
        <v>2075</v>
      </c>
    </row>
    <row r="732" spans="1:7" s="237" customFormat="1" ht="42.75">
      <c r="A732" s="427" t="s">
        <v>2463</v>
      </c>
      <c r="B732" s="428" t="s">
        <v>2464</v>
      </c>
      <c r="C732" s="427" t="s">
        <v>1400</v>
      </c>
      <c r="D732" s="427" t="s">
        <v>1452</v>
      </c>
      <c r="E732" s="429">
        <v>1.6</v>
      </c>
      <c r="F732" s="430">
        <v>13.6</v>
      </c>
      <c r="G732" s="430">
        <v>21.76</v>
      </c>
    </row>
    <row r="733" spans="1:7" s="237" customFormat="1" ht="57">
      <c r="A733" s="427" t="s">
        <v>2465</v>
      </c>
      <c r="B733" s="428" t="s">
        <v>2466</v>
      </c>
      <c r="C733" s="427" t="s">
        <v>1400</v>
      </c>
      <c r="D733" s="427" t="s">
        <v>1398</v>
      </c>
      <c r="E733" s="429">
        <v>2</v>
      </c>
      <c r="F733" s="430">
        <v>8.08</v>
      </c>
      <c r="G733" s="430">
        <v>16.16</v>
      </c>
    </row>
    <row r="734" spans="1:7" s="237" customFormat="1" ht="42.75">
      <c r="A734" s="427" t="s">
        <v>2467</v>
      </c>
      <c r="B734" s="428" t="s">
        <v>2468</v>
      </c>
      <c r="C734" s="427" t="s">
        <v>1400</v>
      </c>
      <c r="D734" s="427" t="s">
        <v>1422</v>
      </c>
      <c r="E734" s="429">
        <v>0.02</v>
      </c>
      <c r="F734" s="430">
        <v>413.71</v>
      </c>
      <c r="G734" s="430">
        <v>8.27</v>
      </c>
    </row>
    <row r="735" spans="1:7" s="237" customFormat="1" ht="57">
      <c r="A735" s="427" t="s">
        <v>1506</v>
      </c>
      <c r="B735" s="428" t="s">
        <v>1507</v>
      </c>
      <c r="C735" s="427" t="s">
        <v>1400</v>
      </c>
      <c r="D735" s="427" t="s">
        <v>1398</v>
      </c>
      <c r="E735" s="429">
        <v>0.8</v>
      </c>
      <c r="F735" s="430">
        <v>49.95</v>
      </c>
      <c r="G735" s="430">
        <v>39.96</v>
      </c>
    </row>
    <row r="736" spans="1:7" s="237" customFormat="1" ht="28.5">
      <c r="A736" s="427" t="s">
        <v>2469</v>
      </c>
      <c r="B736" s="428" t="s">
        <v>2470</v>
      </c>
      <c r="C736" s="427" t="s">
        <v>1400</v>
      </c>
      <c r="D736" s="427" t="s">
        <v>1398</v>
      </c>
      <c r="E736" s="429">
        <v>0.2</v>
      </c>
      <c r="F736" s="430">
        <v>135.71</v>
      </c>
      <c r="G736" s="430">
        <v>27.14</v>
      </c>
    </row>
    <row r="737" spans="1:7" s="237" customFormat="1" ht="14.25">
      <c r="A737" s="420"/>
      <c r="B737" s="420"/>
      <c r="C737" s="420"/>
      <c r="D737" s="420"/>
      <c r="E737" s="513" t="s">
        <v>2094</v>
      </c>
      <c r="F737" s="513"/>
      <c r="G737" s="431">
        <v>113.29</v>
      </c>
    </row>
    <row r="738" spans="1:7" s="237" customFormat="1">
      <c r="A738" s="420"/>
      <c r="B738" s="420"/>
      <c r="C738" s="420"/>
      <c r="D738" s="420"/>
      <c r="E738" s="483" t="s">
        <v>2095</v>
      </c>
      <c r="F738" s="483"/>
      <c r="G738" s="415">
        <v>113.29</v>
      </c>
    </row>
    <row r="739" spans="1:7" s="237" customFormat="1" ht="14.25">
      <c r="A739" s="420"/>
      <c r="B739" s="420"/>
      <c r="C739" s="514"/>
      <c r="D739" s="514"/>
      <c r="E739" s="420"/>
      <c r="F739" s="420"/>
      <c r="G739" s="420"/>
    </row>
    <row r="740" spans="1:7" s="237" customFormat="1" ht="30" customHeight="1">
      <c r="A740" s="515" t="s">
        <v>2471</v>
      </c>
      <c r="B740" s="515"/>
      <c r="C740" s="515"/>
      <c r="D740" s="515"/>
      <c r="E740" s="515"/>
      <c r="F740" s="515"/>
      <c r="G740" s="515"/>
    </row>
    <row r="741" spans="1:7" s="237" customFormat="1" ht="30">
      <c r="A741" s="512" t="s">
        <v>2091</v>
      </c>
      <c r="B741" s="512"/>
      <c r="C741" s="426" t="s">
        <v>2071</v>
      </c>
      <c r="D741" s="426" t="s">
        <v>2072</v>
      </c>
      <c r="E741" s="426" t="s">
        <v>2073</v>
      </c>
      <c r="F741" s="426" t="s">
        <v>2074</v>
      </c>
      <c r="G741" s="426" t="s">
        <v>2075</v>
      </c>
    </row>
    <row r="742" spans="1:7" s="237" customFormat="1" ht="57">
      <c r="A742" s="427" t="s">
        <v>2472</v>
      </c>
      <c r="B742" s="428" t="s">
        <v>2473</v>
      </c>
      <c r="C742" s="427" t="s">
        <v>1400</v>
      </c>
      <c r="D742" s="427" t="s">
        <v>1398</v>
      </c>
      <c r="E742" s="429">
        <v>1</v>
      </c>
      <c r="F742" s="430">
        <v>107.52</v>
      </c>
      <c r="G742" s="430">
        <v>107.52</v>
      </c>
    </row>
    <row r="743" spans="1:7" s="237" customFormat="1" ht="42.75">
      <c r="A743" s="427" t="s">
        <v>2463</v>
      </c>
      <c r="B743" s="428" t="s">
        <v>2464</v>
      </c>
      <c r="C743" s="427" t="s">
        <v>1400</v>
      </c>
      <c r="D743" s="427" t="s">
        <v>1452</v>
      </c>
      <c r="E743" s="429">
        <v>1.6</v>
      </c>
      <c r="F743" s="430">
        <v>13.6</v>
      </c>
      <c r="G743" s="430">
        <v>21.76</v>
      </c>
    </row>
    <row r="744" spans="1:7" s="237" customFormat="1" ht="28.5">
      <c r="A744" s="427" t="s">
        <v>1546</v>
      </c>
      <c r="B744" s="428" t="s">
        <v>1547</v>
      </c>
      <c r="C744" s="427" t="s">
        <v>1400</v>
      </c>
      <c r="D744" s="427" t="s">
        <v>1422</v>
      </c>
      <c r="E744" s="429">
        <v>0.05</v>
      </c>
      <c r="F744" s="430">
        <v>83.25</v>
      </c>
      <c r="G744" s="430">
        <v>4.16</v>
      </c>
    </row>
    <row r="745" spans="1:7" s="237" customFormat="1" ht="57">
      <c r="A745" s="427" t="s">
        <v>2465</v>
      </c>
      <c r="B745" s="428" t="s">
        <v>2466</v>
      </c>
      <c r="C745" s="427" t="s">
        <v>1400</v>
      </c>
      <c r="D745" s="427" t="s">
        <v>1398</v>
      </c>
      <c r="E745" s="429">
        <v>2</v>
      </c>
      <c r="F745" s="430">
        <v>8.08</v>
      </c>
      <c r="G745" s="430">
        <v>16.16</v>
      </c>
    </row>
    <row r="746" spans="1:7" s="237" customFormat="1" ht="42.75">
      <c r="A746" s="427" t="s">
        <v>2467</v>
      </c>
      <c r="B746" s="428" t="s">
        <v>2468</v>
      </c>
      <c r="C746" s="427" t="s">
        <v>1400</v>
      </c>
      <c r="D746" s="427" t="s">
        <v>1422</v>
      </c>
      <c r="E746" s="429">
        <v>0.02</v>
      </c>
      <c r="F746" s="430">
        <v>413.71</v>
      </c>
      <c r="G746" s="430">
        <v>8.27</v>
      </c>
    </row>
    <row r="747" spans="1:7" s="237" customFormat="1" ht="57">
      <c r="A747" s="427" t="s">
        <v>1506</v>
      </c>
      <c r="B747" s="428" t="s">
        <v>1507</v>
      </c>
      <c r="C747" s="427" t="s">
        <v>1400</v>
      </c>
      <c r="D747" s="427" t="s">
        <v>1398</v>
      </c>
      <c r="E747" s="429">
        <v>0.8</v>
      </c>
      <c r="F747" s="430">
        <v>49.95</v>
      </c>
      <c r="G747" s="430">
        <v>39.96</v>
      </c>
    </row>
    <row r="748" spans="1:7" s="237" customFormat="1" ht="28.5">
      <c r="A748" s="427" t="s">
        <v>2469</v>
      </c>
      <c r="B748" s="428" t="s">
        <v>2470</v>
      </c>
      <c r="C748" s="427" t="s">
        <v>1400</v>
      </c>
      <c r="D748" s="427" t="s">
        <v>1398</v>
      </c>
      <c r="E748" s="429">
        <v>0.2</v>
      </c>
      <c r="F748" s="430">
        <v>135.71</v>
      </c>
      <c r="G748" s="430">
        <v>27.14</v>
      </c>
    </row>
    <row r="749" spans="1:7" s="237" customFormat="1" ht="28.5">
      <c r="A749" s="427" t="s">
        <v>1603</v>
      </c>
      <c r="B749" s="428" t="s">
        <v>1604</v>
      </c>
      <c r="C749" s="427" t="s">
        <v>1400</v>
      </c>
      <c r="D749" s="427" t="s">
        <v>1398</v>
      </c>
      <c r="E749" s="429">
        <v>0.9</v>
      </c>
      <c r="F749" s="430">
        <v>13.96</v>
      </c>
      <c r="G749" s="430">
        <v>12.56</v>
      </c>
    </row>
    <row r="750" spans="1:7" s="237" customFormat="1" ht="14.25">
      <c r="A750" s="420"/>
      <c r="B750" s="420"/>
      <c r="C750" s="420"/>
      <c r="D750" s="420"/>
      <c r="E750" s="513" t="s">
        <v>2094</v>
      </c>
      <c r="F750" s="513"/>
      <c r="G750" s="431">
        <v>237.53</v>
      </c>
    </row>
    <row r="751" spans="1:7" s="237" customFormat="1">
      <c r="A751" s="420"/>
      <c r="B751" s="420"/>
      <c r="C751" s="420"/>
      <c r="D751" s="420"/>
      <c r="E751" s="483" t="s">
        <v>2095</v>
      </c>
      <c r="F751" s="483"/>
      <c r="G751" s="415">
        <v>237.53</v>
      </c>
    </row>
    <row r="752" spans="1:7" s="237" customFormat="1" ht="14.25">
      <c r="A752" s="420"/>
      <c r="B752" s="420"/>
      <c r="C752" s="514"/>
      <c r="D752" s="514"/>
      <c r="E752" s="420"/>
      <c r="F752" s="420"/>
      <c r="G752" s="420"/>
    </row>
    <row r="753" spans="1:7" s="237" customFormat="1">
      <c r="A753" s="515" t="s">
        <v>2474</v>
      </c>
      <c r="B753" s="515"/>
      <c r="C753" s="515"/>
      <c r="D753" s="515"/>
      <c r="E753" s="515"/>
      <c r="F753" s="515"/>
      <c r="G753" s="515"/>
    </row>
    <row r="754" spans="1:7" s="237" customFormat="1" ht="30">
      <c r="A754" s="512" t="s">
        <v>2070</v>
      </c>
      <c r="B754" s="512"/>
      <c r="C754" s="426" t="s">
        <v>2071</v>
      </c>
      <c r="D754" s="426" t="s">
        <v>2072</v>
      </c>
      <c r="E754" s="426" t="s">
        <v>2073</v>
      </c>
      <c r="F754" s="426" t="s">
        <v>2074</v>
      </c>
      <c r="G754" s="426" t="s">
        <v>2075</v>
      </c>
    </row>
    <row r="755" spans="1:7" s="237" customFormat="1" ht="14.25">
      <c r="A755" s="427" t="s">
        <v>2475</v>
      </c>
      <c r="B755" s="428" t="s">
        <v>2476</v>
      </c>
      <c r="C755" s="427" t="s">
        <v>1400</v>
      </c>
      <c r="D755" s="427" t="s">
        <v>1416</v>
      </c>
      <c r="E755" s="429">
        <v>1</v>
      </c>
      <c r="F755" s="430">
        <v>58.94</v>
      </c>
      <c r="G755" s="430">
        <v>58.94</v>
      </c>
    </row>
    <row r="756" spans="1:7" s="237" customFormat="1" ht="14.25">
      <c r="A756" s="420"/>
      <c r="B756" s="420"/>
      <c r="C756" s="420"/>
      <c r="D756" s="420"/>
      <c r="E756" s="513" t="s">
        <v>2084</v>
      </c>
      <c r="F756" s="513"/>
      <c r="G756" s="431">
        <v>58.94</v>
      </c>
    </row>
    <row r="757" spans="1:7" s="237" customFormat="1" ht="30">
      <c r="A757" s="512" t="s">
        <v>2085</v>
      </c>
      <c r="B757" s="512"/>
      <c r="C757" s="426" t="s">
        <v>2071</v>
      </c>
      <c r="D757" s="426" t="s">
        <v>2072</v>
      </c>
      <c r="E757" s="426" t="s">
        <v>2073</v>
      </c>
      <c r="F757" s="426" t="s">
        <v>2074</v>
      </c>
      <c r="G757" s="426" t="s">
        <v>2075</v>
      </c>
    </row>
    <row r="758" spans="1:7" s="237" customFormat="1" ht="28.5">
      <c r="A758" s="427" t="s">
        <v>2285</v>
      </c>
      <c r="B758" s="428" t="s">
        <v>2286</v>
      </c>
      <c r="C758" s="427" t="s">
        <v>1400</v>
      </c>
      <c r="D758" s="427" t="s">
        <v>2054</v>
      </c>
      <c r="E758" s="429">
        <v>0.3</v>
      </c>
      <c r="F758" s="430">
        <v>29.02</v>
      </c>
      <c r="G758" s="430">
        <v>8.7100000000000009</v>
      </c>
    </row>
    <row r="759" spans="1:7" s="237" customFormat="1" ht="14.25">
      <c r="A759" s="427" t="s">
        <v>2200</v>
      </c>
      <c r="B759" s="428" t="s">
        <v>2201</v>
      </c>
      <c r="C759" s="427" t="s">
        <v>1400</v>
      </c>
      <c r="D759" s="427" t="s">
        <v>2054</v>
      </c>
      <c r="E759" s="429">
        <v>0.3</v>
      </c>
      <c r="F759" s="430">
        <v>35.53</v>
      </c>
      <c r="G759" s="430">
        <v>10.66</v>
      </c>
    </row>
    <row r="760" spans="1:7" s="237" customFormat="1" ht="14.25">
      <c r="A760" s="420"/>
      <c r="B760" s="420"/>
      <c r="C760" s="420"/>
      <c r="D760" s="420"/>
      <c r="E760" s="513" t="s">
        <v>2090</v>
      </c>
      <c r="F760" s="513"/>
      <c r="G760" s="431">
        <v>19.37</v>
      </c>
    </row>
    <row r="761" spans="1:7" s="237" customFormat="1">
      <c r="A761" s="420"/>
      <c r="B761" s="420"/>
      <c r="C761" s="420"/>
      <c r="D761" s="420"/>
      <c r="E761" s="483" t="s">
        <v>2095</v>
      </c>
      <c r="F761" s="483"/>
      <c r="G761" s="415">
        <v>78.31</v>
      </c>
    </row>
    <row r="762" spans="1:7" s="237" customFormat="1" ht="14.25">
      <c r="A762" s="420"/>
      <c r="B762" s="420"/>
      <c r="C762" s="514"/>
      <c r="D762" s="514"/>
      <c r="E762" s="420"/>
      <c r="F762" s="420"/>
      <c r="G762" s="420"/>
    </row>
    <row r="763" spans="1:7" s="237" customFormat="1">
      <c r="A763" s="515" t="s">
        <v>2477</v>
      </c>
      <c r="B763" s="515"/>
      <c r="C763" s="515"/>
      <c r="D763" s="515"/>
      <c r="E763" s="515"/>
      <c r="F763" s="515"/>
      <c r="G763" s="515"/>
    </row>
    <row r="764" spans="1:7" s="237" customFormat="1" ht="30">
      <c r="A764" s="512" t="s">
        <v>2070</v>
      </c>
      <c r="B764" s="512"/>
      <c r="C764" s="426" t="s">
        <v>2071</v>
      </c>
      <c r="D764" s="426" t="s">
        <v>2072</v>
      </c>
      <c r="E764" s="426" t="s">
        <v>2073</v>
      </c>
      <c r="F764" s="426" t="s">
        <v>2074</v>
      </c>
      <c r="G764" s="426" t="s">
        <v>2075</v>
      </c>
    </row>
    <row r="765" spans="1:7" s="237" customFormat="1" ht="42.75">
      <c r="A765" s="427" t="s">
        <v>2478</v>
      </c>
      <c r="B765" s="428" t="s">
        <v>2479</v>
      </c>
      <c r="C765" s="427" t="s">
        <v>1400</v>
      </c>
      <c r="D765" s="427" t="s">
        <v>1403</v>
      </c>
      <c r="E765" s="429">
        <v>1</v>
      </c>
      <c r="F765" s="430">
        <v>82.79</v>
      </c>
      <c r="G765" s="430">
        <v>82.79</v>
      </c>
    </row>
    <row r="766" spans="1:7" s="237" customFormat="1" ht="14.25">
      <c r="A766" s="420"/>
      <c r="B766" s="420"/>
      <c r="C766" s="420"/>
      <c r="D766" s="420"/>
      <c r="E766" s="513" t="s">
        <v>2084</v>
      </c>
      <c r="F766" s="513"/>
      <c r="G766" s="431">
        <v>82.79</v>
      </c>
    </row>
    <row r="767" spans="1:7" s="237" customFormat="1" ht="30">
      <c r="A767" s="512" t="s">
        <v>2085</v>
      </c>
      <c r="B767" s="512"/>
      <c r="C767" s="426" t="s">
        <v>2071</v>
      </c>
      <c r="D767" s="426" t="s">
        <v>2072</v>
      </c>
      <c r="E767" s="426" t="s">
        <v>2073</v>
      </c>
      <c r="F767" s="426" t="s">
        <v>2074</v>
      </c>
      <c r="G767" s="426" t="s">
        <v>2075</v>
      </c>
    </row>
    <row r="768" spans="1:7" s="237" customFormat="1" ht="14.25">
      <c r="A768" s="427" t="s">
        <v>2088</v>
      </c>
      <c r="B768" s="428" t="s">
        <v>2089</v>
      </c>
      <c r="C768" s="427" t="s">
        <v>1400</v>
      </c>
      <c r="D768" s="427" t="s">
        <v>2054</v>
      </c>
      <c r="E768" s="429">
        <v>0.25</v>
      </c>
      <c r="F768" s="430">
        <v>27.47</v>
      </c>
      <c r="G768" s="430">
        <v>6.87</v>
      </c>
    </row>
    <row r="769" spans="1:7" s="237" customFormat="1" ht="14.25">
      <c r="A769" s="420"/>
      <c r="B769" s="420"/>
      <c r="C769" s="420"/>
      <c r="D769" s="420"/>
      <c r="E769" s="513" t="s">
        <v>2090</v>
      </c>
      <c r="F769" s="513"/>
      <c r="G769" s="431">
        <v>6.87</v>
      </c>
    </row>
    <row r="770" spans="1:7" s="237" customFormat="1">
      <c r="A770" s="420"/>
      <c r="B770" s="420"/>
      <c r="C770" s="420"/>
      <c r="D770" s="420"/>
      <c r="E770" s="483" t="s">
        <v>2095</v>
      </c>
      <c r="F770" s="483"/>
      <c r="G770" s="415">
        <v>89.66</v>
      </c>
    </row>
    <row r="771" spans="1:7" s="237" customFormat="1" ht="14.25">
      <c r="A771" s="420"/>
      <c r="B771" s="420"/>
      <c r="C771" s="514"/>
      <c r="D771" s="514"/>
      <c r="E771" s="420"/>
      <c r="F771" s="420"/>
      <c r="G771" s="420"/>
    </row>
    <row r="772" spans="1:7" s="237" customFormat="1">
      <c r="A772" s="515" t="s">
        <v>2188</v>
      </c>
      <c r="B772" s="515"/>
      <c r="C772" s="515"/>
      <c r="D772" s="515"/>
      <c r="E772" s="515"/>
      <c r="F772" s="515"/>
      <c r="G772" s="515"/>
    </row>
    <row r="773" spans="1:7" s="237" customFormat="1" ht="30">
      <c r="A773" s="512" t="s">
        <v>2085</v>
      </c>
      <c r="B773" s="512"/>
      <c r="C773" s="426" t="s">
        <v>2071</v>
      </c>
      <c r="D773" s="426" t="s">
        <v>2072</v>
      </c>
      <c r="E773" s="426" t="s">
        <v>2073</v>
      </c>
      <c r="F773" s="426" t="s">
        <v>2074</v>
      </c>
      <c r="G773" s="426" t="s">
        <v>2075</v>
      </c>
    </row>
    <row r="774" spans="1:7" s="237" customFormat="1" ht="14.25">
      <c r="A774" s="427" t="s">
        <v>2181</v>
      </c>
      <c r="B774" s="428" t="s">
        <v>2182</v>
      </c>
      <c r="C774" s="427" t="s">
        <v>1400</v>
      </c>
      <c r="D774" s="427" t="s">
        <v>2054</v>
      </c>
      <c r="E774" s="429">
        <v>0.8</v>
      </c>
      <c r="F774" s="430">
        <v>35.81</v>
      </c>
      <c r="G774" s="430">
        <v>28.65</v>
      </c>
    </row>
    <row r="775" spans="1:7" s="237" customFormat="1" ht="14.25">
      <c r="A775" s="427" t="s">
        <v>2088</v>
      </c>
      <c r="B775" s="428" t="s">
        <v>2089</v>
      </c>
      <c r="C775" s="427" t="s">
        <v>1400</v>
      </c>
      <c r="D775" s="427" t="s">
        <v>2054</v>
      </c>
      <c r="E775" s="429">
        <v>0.8</v>
      </c>
      <c r="F775" s="430">
        <v>27.47</v>
      </c>
      <c r="G775" s="430">
        <v>21.98</v>
      </c>
    </row>
    <row r="776" spans="1:7" s="237" customFormat="1" ht="14.25">
      <c r="A776" s="420"/>
      <c r="B776" s="420"/>
      <c r="C776" s="420"/>
      <c r="D776" s="420"/>
      <c r="E776" s="513" t="s">
        <v>2090</v>
      </c>
      <c r="F776" s="513"/>
      <c r="G776" s="431">
        <v>50.63</v>
      </c>
    </row>
    <row r="777" spans="1:7" s="237" customFormat="1" ht="30">
      <c r="A777" s="512" t="s">
        <v>2091</v>
      </c>
      <c r="B777" s="512"/>
      <c r="C777" s="426" t="s">
        <v>2071</v>
      </c>
      <c r="D777" s="426" t="s">
        <v>2072</v>
      </c>
      <c r="E777" s="426" t="s">
        <v>2073</v>
      </c>
      <c r="F777" s="426" t="s">
        <v>2074</v>
      </c>
      <c r="G777" s="426" t="s">
        <v>2075</v>
      </c>
    </row>
    <row r="778" spans="1:7" s="237" customFormat="1" ht="42.75">
      <c r="A778" s="427" t="s">
        <v>2189</v>
      </c>
      <c r="B778" s="428" t="s">
        <v>2190</v>
      </c>
      <c r="C778" s="427" t="s">
        <v>1400</v>
      </c>
      <c r="D778" s="427" t="s">
        <v>1422</v>
      </c>
      <c r="E778" s="429">
        <v>4.0000000000000001E-3</v>
      </c>
      <c r="F778" s="430">
        <v>433.3</v>
      </c>
      <c r="G778" s="430">
        <v>1.73</v>
      </c>
    </row>
    <row r="779" spans="1:7" s="237" customFormat="1" ht="28.5">
      <c r="A779" s="427" t="s">
        <v>2191</v>
      </c>
      <c r="B779" s="428" t="s">
        <v>2192</v>
      </c>
      <c r="C779" s="427" t="s">
        <v>1400</v>
      </c>
      <c r="D779" s="427" t="s">
        <v>1452</v>
      </c>
      <c r="E779" s="429">
        <v>0.4</v>
      </c>
      <c r="F779" s="430">
        <v>12.62</v>
      </c>
      <c r="G779" s="430">
        <v>5.05</v>
      </c>
    </row>
    <row r="780" spans="1:7" s="237" customFormat="1" ht="42.75">
      <c r="A780" s="427" t="s">
        <v>2193</v>
      </c>
      <c r="B780" s="428" t="s">
        <v>2194</v>
      </c>
      <c r="C780" s="427" t="s">
        <v>1400</v>
      </c>
      <c r="D780" s="427" t="s">
        <v>1398</v>
      </c>
      <c r="E780" s="429">
        <v>0.13</v>
      </c>
      <c r="F780" s="430">
        <v>96.92</v>
      </c>
      <c r="G780" s="430">
        <v>12.6</v>
      </c>
    </row>
    <row r="781" spans="1:7" s="237" customFormat="1" ht="28.5">
      <c r="A781" s="427" t="s">
        <v>1484</v>
      </c>
      <c r="B781" s="428" t="s">
        <v>1485</v>
      </c>
      <c r="C781" s="427" t="s">
        <v>1400</v>
      </c>
      <c r="D781" s="427" t="s">
        <v>1422</v>
      </c>
      <c r="E781" s="429">
        <v>4.0000000000000001E-3</v>
      </c>
      <c r="F781" s="430">
        <v>379.73</v>
      </c>
      <c r="G781" s="430">
        <v>1.52</v>
      </c>
    </row>
    <row r="782" spans="1:7" s="237" customFormat="1" ht="14.25">
      <c r="A782" s="420"/>
      <c r="B782" s="420"/>
      <c r="C782" s="420"/>
      <c r="D782" s="420"/>
      <c r="E782" s="513" t="s">
        <v>2094</v>
      </c>
      <c r="F782" s="513"/>
      <c r="G782" s="431">
        <v>20.9</v>
      </c>
    </row>
    <row r="783" spans="1:7" s="237" customFormat="1">
      <c r="A783" s="420"/>
      <c r="B783" s="420"/>
      <c r="C783" s="420"/>
      <c r="D783" s="420"/>
      <c r="E783" s="483" t="s">
        <v>2095</v>
      </c>
      <c r="F783" s="483"/>
      <c r="G783" s="415">
        <v>71.53</v>
      </c>
    </row>
    <row r="784" spans="1:7" s="233" customFormat="1" ht="12.75">
      <c r="A784" s="230"/>
      <c r="B784" s="230"/>
      <c r="C784" s="176"/>
      <c r="D784" s="176"/>
      <c r="E784" s="231"/>
      <c r="F784" s="231"/>
      <c r="G784" s="232"/>
    </row>
    <row r="785" spans="1:12" s="233" customFormat="1" ht="12.75">
      <c r="A785" s="230"/>
      <c r="B785" s="230"/>
      <c r="C785" s="176"/>
      <c r="D785" s="176"/>
      <c r="E785" s="231"/>
      <c r="F785" s="231"/>
      <c r="G785" s="232"/>
    </row>
    <row r="786" spans="1:12" s="233" customFormat="1" ht="12.75">
      <c r="A786" s="230"/>
      <c r="B786" s="230"/>
      <c r="C786" s="176"/>
      <c r="D786" s="176"/>
      <c r="E786" s="231"/>
      <c r="F786" s="231"/>
      <c r="G786" s="232"/>
    </row>
    <row r="787" spans="1:12" s="178" customFormat="1">
      <c r="A787" s="528"/>
      <c r="B787" s="528"/>
      <c r="C787" s="528"/>
      <c r="D787" s="528"/>
      <c r="E787" s="528"/>
      <c r="F787" s="528"/>
      <c r="G787" s="528"/>
      <c r="H787" s="179"/>
      <c r="I787" s="179"/>
      <c r="J787" s="179"/>
      <c r="K787" s="179"/>
      <c r="L787" s="180"/>
    </row>
    <row r="788" spans="1:12" s="166" customFormat="1" ht="80.25" customHeight="1">
      <c r="A788" s="519" t="s">
        <v>1259</v>
      </c>
      <c r="B788" s="519"/>
      <c r="C788" s="519"/>
      <c r="D788" s="519"/>
      <c r="E788" s="519"/>
      <c r="F788" s="519"/>
      <c r="G788" s="519"/>
      <c r="H788" s="167"/>
      <c r="I788" s="167"/>
      <c r="J788" s="167"/>
      <c r="K788" s="167"/>
    </row>
  </sheetData>
  <mergeCells count="476">
    <mergeCell ref="A1:G1"/>
    <mergeCell ref="A3:G3"/>
    <mergeCell ref="E5:F5"/>
    <mergeCell ref="A788:G788"/>
    <mergeCell ref="E6:F6"/>
    <mergeCell ref="B5:C5"/>
    <mergeCell ref="B9:C10"/>
    <mergeCell ref="B6:C7"/>
    <mergeCell ref="A6:A7"/>
    <mergeCell ref="A9:A10"/>
    <mergeCell ref="E9:G10"/>
    <mergeCell ref="A12:G12"/>
    <mergeCell ref="A13:G13"/>
    <mergeCell ref="A787:G787"/>
    <mergeCell ref="A14:G14"/>
    <mergeCell ref="A15:B15"/>
    <mergeCell ref="E28:F28"/>
    <mergeCell ref="C29:D29"/>
    <mergeCell ref="A30:G30"/>
    <mergeCell ref="A31:B31"/>
    <mergeCell ref="E49:F49"/>
    <mergeCell ref="E20:F20"/>
    <mergeCell ref="A21:B21"/>
    <mergeCell ref="E24:F24"/>
    <mergeCell ref="A25:B25"/>
    <mergeCell ref="E27:F27"/>
    <mergeCell ref="A57:B57"/>
    <mergeCell ref="E67:F67"/>
    <mergeCell ref="A68:B68"/>
    <mergeCell ref="E71:F71"/>
    <mergeCell ref="E72:F72"/>
    <mergeCell ref="A50:B50"/>
    <mergeCell ref="E53:F53"/>
    <mergeCell ref="E54:F54"/>
    <mergeCell ref="C55:D55"/>
    <mergeCell ref="A56:G56"/>
    <mergeCell ref="E84:F84"/>
    <mergeCell ref="E85:F85"/>
    <mergeCell ref="C86:D86"/>
    <mergeCell ref="A87:G87"/>
    <mergeCell ref="A88:B88"/>
    <mergeCell ref="C73:D73"/>
    <mergeCell ref="A74:G74"/>
    <mergeCell ref="A75:B75"/>
    <mergeCell ref="E80:F80"/>
    <mergeCell ref="A81:B81"/>
    <mergeCell ref="E104:F104"/>
    <mergeCell ref="E105:F105"/>
    <mergeCell ref="C106:D106"/>
    <mergeCell ref="A107:G107"/>
    <mergeCell ref="A108:B108"/>
    <mergeCell ref="E98:F98"/>
    <mergeCell ref="E99:F99"/>
    <mergeCell ref="C100:D100"/>
    <mergeCell ref="A101:G101"/>
    <mergeCell ref="A102:B102"/>
    <mergeCell ref="E117:F117"/>
    <mergeCell ref="A118:B118"/>
    <mergeCell ref="E123:F123"/>
    <mergeCell ref="E124:F124"/>
    <mergeCell ref="C125:D125"/>
    <mergeCell ref="E110:F110"/>
    <mergeCell ref="E111:F111"/>
    <mergeCell ref="C112:D112"/>
    <mergeCell ref="A113:G113"/>
    <mergeCell ref="A114:B114"/>
    <mergeCell ref="E133:F133"/>
    <mergeCell ref="C134:D134"/>
    <mergeCell ref="A135:G135"/>
    <mergeCell ref="A136:B136"/>
    <mergeCell ref="E139:F139"/>
    <mergeCell ref="A126:G126"/>
    <mergeCell ref="A127:B127"/>
    <mergeCell ref="E129:F129"/>
    <mergeCell ref="A130:B130"/>
    <mergeCell ref="E132:F132"/>
    <mergeCell ref="A149:B149"/>
    <mergeCell ref="E152:F152"/>
    <mergeCell ref="A153:B153"/>
    <mergeCell ref="E156:F156"/>
    <mergeCell ref="A157:B157"/>
    <mergeCell ref="A140:B140"/>
    <mergeCell ref="E145:F145"/>
    <mergeCell ref="E146:F146"/>
    <mergeCell ref="C147:D147"/>
    <mergeCell ref="A148:G148"/>
    <mergeCell ref="E167:F167"/>
    <mergeCell ref="A168:B168"/>
    <mergeCell ref="E171:F171"/>
    <mergeCell ref="E172:F172"/>
    <mergeCell ref="C173:D173"/>
    <mergeCell ref="E159:F159"/>
    <mergeCell ref="E160:F160"/>
    <mergeCell ref="C161:D161"/>
    <mergeCell ref="A162:G162"/>
    <mergeCell ref="A163:B163"/>
    <mergeCell ref="E183:F183"/>
    <mergeCell ref="C184:D184"/>
    <mergeCell ref="A185:G185"/>
    <mergeCell ref="A186:B186"/>
    <mergeCell ref="E189:F189"/>
    <mergeCell ref="A174:G174"/>
    <mergeCell ref="A175:B175"/>
    <mergeCell ref="E179:F179"/>
    <mergeCell ref="A180:B180"/>
    <mergeCell ref="E182:F182"/>
    <mergeCell ref="A196:B196"/>
    <mergeCell ref="E199:F199"/>
    <mergeCell ref="A200:B200"/>
    <mergeCell ref="E202:F202"/>
    <mergeCell ref="A203:B203"/>
    <mergeCell ref="A190:B190"/>
    <mergeCell ref="E192:F192"/>
    <mergeCell ref="E193:F193"/>
    <mergeCell ref="C194:D194"/>
    <mergeCell ref="A195:G195"/>
    <mergeCell ref="E215:F215"/>
    <mergeCell ref="A216:B216"/>
    <mergeCell ref="E219:F219"/>
    <mergeCell ref="A220:B220"/>
    <mergeCell ref="E224:F224"/>
    <mergeCell ref="E206:F206"/>
    <mergeCell ref="E207:F207"/>
    <mergeCell ref="C208:D208"/>
    <mergeCell ref="A209:G209"/>
    <mergeCell ref="A210:B210"/>
    <mergeCell ref="A231:B231"/>
    <mergeCell ref="E234:F234"/>
    <mergeCell ref="E235:F235"/>
    <mergeCell ref="C236:D236"/>
    <mergeCell ref="A237:G237"/>
    <mergeCell ref="E225:F225"/>
    <mergeCell ref="C226:D226"/>
    <mergeCell ref="A227:G227"/>
    <mergeCell ref="A228:B228"/>
    <mergeCell ref="E230:F230"/>
    <mergeCell ref="C246:D246"/>
    <mergeCell ref="A247:G247"/>
    <mergeCell ref="A248:B248"/>
    <mergeCell ref="E252:F252"/>
    <mergeCell ref="A253:B253"/>
    <mergeCell ref="A238:B238"/>
    <mergeCell ref="E240:F240"/>
    <mergeCell ref="A241:B241"/>
    <mergeCell ref="E244:F244"/>
    <mergeCell ref="E245:F245"/>
    <mergeCell ref="E263:F263"/>
    <mergeCell ref="A264:B264"/>
    <mergeCell ref="E267:F267"/>
    <mergeCell ref="E268:F268"/>
    <mergeCell ref="C269:D269"/>
    <mergeCell ref="E256:F256"/>
    <mergeCell ref="E257:F257"/>
    <mergeCell ref="C258:D258"/>
    <mergeCell ref="A259:G259"/>
    <mergeCell ref="A260:B260"/>
    <mergeCell ref="E279:F279"/>
    <mergeCell ref="C280:D280"/>
    <mergeCell ref="A281:G281"/>
    <mergeCell ref="A282:B282"/>
    <mergeCell ref="E284:F284"/>
    <mergeCell ref="A270:G270"/>
    <mergeCell ref="A271:B271"/>
    <mergeCell ref="E274:F274"/>
    <mergeCell ref="A275:B275"/>
    <mergeCell ref="E278:F278"/>
    <mergeCell ref="C294:D294"/>
    <mergeCell ref="A295:G295"/>
    <mergeCell ref="A296:B296"/>
    <mergeCell ref="E300:F300"/>
    <mergeCell ref="A301:B301"/>
    <mergeCell ref="A285:B285"/>
    <mergeCell ref="E288:F288"/>
    <mergeCell ref="A289:B289"/>
    <mergeCell ref="E292:F292"/>
    <mergeCell ref="E293:F293"/>
    <mergeCell ref="A310:G310"/>
    <mergeCell ref="A311:B311"/>
    <mergeCell ref="E316:F316"/>
    <mergeCell ref="A317:B317"/>
    <mergeCell ref="E320:F320"/>
    <mergeCell ref="E304:F304"/>
    <mergeCell ref="A305:B305"/>
    <mergeCell ref="E307:F307"/>
    <mergeCell ref="E308:F308"/>
    <mergeCell ref="C309:D309"/>
    <mergeCell ref="A328:B328"/>
    <mergeCell ref="E331:F331"/>
    <mergeCell ref="A332:B332"/>
    <mergeCell ref="E334:F334"/>
    <mergeCell ref="E335:F335"/>
    <mergeCell ref="E321:F321"/>
    <mergeCell ref="C322:D322"/>
    <mergeCell ref="A323:G323"/>
    <mergeCell ref="A324:B324"/>
    <mergeCell ref="E327:F327"/>
    <mergeCell ref="E344:F344"/>
    <mergeCell ref="E345:F345"/>
    <mergeCell ref="C346:D346"/>
    <mergeCell ref="A347:G347"/>
    <mergeCell ref="A348:B348"/>
    <mergeCell ref="C336:D336"/>
    <mergeCell ref="A337:G337"/>
    <mergeCell ref="A338:B338"/>
    <mergeCell ref="E340:F340"/>
    <mergeCell ref="A341:B341"/>
    <mergeCell ref="A357:G357"/>
    <mergeCell ref="A358:B358"/>
    <mergeCell ref="E362:F362"/>
    <mergeCell ref="A363:B363"/>
    <mergeCell ref="E366:F366"/>
    <mergeCell ref="E350:F350"/>
    <mergeCell ref="A351:B351"/>
    <mergeCell ref="E354:F354"/>
    <mergeCell ref="E355:F355"/>
    <mergeCell ref="C356:D356"/>
    <mergeCell ref="A375:B375"/>
    <mergeCell ref="E378:F378"/>
    <mergeCell ref="E379:F379"/>
    <mergeCell ref="C380:D380"/>
    <mergeCell ref="A381:G381"/>
    <mergeCell ref="E367:F367"/>
    <mergeCell ref="C368:D368"/>
    <mergeCell ref="A369:G369"/>
    <mergeCell ref="A370:B370"/>
    <mergeCell ref="E374:F374"/>
    <mergeCell ref="C392:D392"/>
    <mergeCell ref="A393:G393"/>
    <mergeCell ref="A394:B394"/>
    <mergeCell ref="E398:F398"/>
    <mergeCell ref="A399:B399"/>
    <mergeCell ref="A382:B382"/>
    <mergeCell ref="E386:F386"/>
    <mergeCell ref="A387:B387"/>
    <mergeCell ref="E390:F390"/>
    <mergeCell ref="E391:F391"/>
    <mergeCell ref="E411:F411"/>
    <mergeCell ref="A412:B412"/>
    <mergeCell ref="E415:F415"/>
    <mergeCell ref="E416:F416"/>
    <mergeCell ref="C417:D417"/>
    <mergeCell ref="E402:F402"/>
    <mergeCell ref="E403:F403"/>
    <mergeCell ref="C404:D404"/>
    <mergeCell ref="A405:G405"/>
    <mergeCell ref="A406:B406"/>
    <mergeCell ref="E428:F428"/>
    <mergeCell ref="C429:D429"/>
    <mergeCell ref="A430:G430"/>
    <mergeCell ref="A431:B431"/>
    <mergeCell ref="E435:F435"/>
    <mergeCell ref="A418:G418"/>
    <mergeCell ref="A419:B419"/>
    <mergeCell ref="E423:F423"/>
    <mergeCell ref="A424:B424"/>
    <mergeCell ref="E427:F427"/>
    <mergeCell ref="A443:B443"/>
    <mergeCell ref="E447:F447"/>
    <mergeCell ref="A448:B448"/>
    <mergeCell ref="E451:F451"/>
    <mergeCell ref="E452:F452"/>
    <mergeCell ref="A436:B436"/>
    <mergeCell ref="E439:F439"/>
    <mergeCell ref="E440:F440"/>
    <mergeCell ref="C441:D441"/>
    <mergeCell ref="A442:G442"/>
    <mergeCell ref="E464:F464"/>
    <mergeCell ref="E465:F465"/>
    <mergeCell ref="C466:D466"/>
    <mergeCell ref="A467:G467"/>
    <mergeCell ref="A468:B468"/>
    <mergeCell ref="C453:D453"/>
    <mergeCell ref="A454:G454"/>
    <mergeCell ref="A455:B455"/>
    <mergeCell ref="E460:F460"/>
    <mergeCell ref="A461:B461"/>
    <mergeCell ref="E487:F487"/>
    <mergeCell ref="C488:D488"/>
    <mergeCell ref="A489:G489"/>
    <mergeCell ref="A490:B490"/>
    <mergeCell ref="E494:F494"/>
    <mergeCell ref="E475:F475"/>
    <mergeCell ref="A476:B476"/>
    <mergeCell ref="E479:F479"/>
    <mergeCell ref="A480:B480"/>
    <mergeCell ref="E486:F486"/>
    <mergeCell ref="A502:B502"/>
    <mergeCell ref="E504:F504"/>
    <mergeCell ref="A505:B505"/>
    <mergeCell ref="E508:F508"/>
    <mergeCell ref="E509:F509"/>
    <mergeCell ref="A495:B495"/>
    <mergeCell ref="E498:F498"/>
    <mergeCell ref="E499:F499"/>
    <mergeCell ref="C500:D500"/>
    <mergeCell ref="A501:G501"/>
    <mergeCell ref="E520:F520"/>
    <mergeCell ref="E521:F521"/>
    <mergeCell ref="C522:D522"/>
    <mergeCell ref="A523:G523"/>
    <mergeCell ref="A524:B524"/>
    <mergeCell ref="C510:D510"/>
    <mergeCell ref="A511:G511"/>
    <mergeCell ref="A512:B512"/>
    <mergeCell ref="E515:F515"/>
    <mergeCell ref="A516:B516"/>
    <mergeCell ref="A532:G532"/>
    <mergeCell ref="A533:B533"/>
    <mergeCell ref="E536:F536"/>
    <mergeCell ref="A537:B537"/>
    <mergeCell ref="E539:F539"/>
    <mergeCell ref="E526:F526"/>
    <mergeCell ref="A527:B527"/>
    <mergeCell ref="E529:F529"/>
    <mergeCell ref="E530:F530"/>
    <mergeCell ref="C531:D531"/>
    <mergeCell ref="A546:B546"/>
    <mergeCell ref="E548:F548"/>
    <mergeCell ref="E549:F549"/>
    <mergeCell ref="C550:D550"/>
    <mergeCell ref="A551:G551"/>
    <mergeCell ref="E540:F540"/>
    <mergeCell ref="C541:D541"/>
    <mergeCell ref="A542:G542"/>
    <mergeCell ref="A543:B543"/>
    <mergeCell ref="E545:F545"/>
    <mergeCell ref="C561:D561"/>
    <mergeCell ref="A562:G562"/>
    <mergeCell ref="A563:B563"/>
    <mergeCell ref="E567:F567"/>
    <mergeCell ref="A568:B568"/>
    <mergeCell ref="A552:B552"/>
    <mergeCell ref="E555:F555"/>
    <mergeCell ref="A556:B556"/>
    <mergeCell ref="E559:F559"/>
    <mergeCell ref="E560:F560"/>
    <mergeCell ref="E577:F577"/>
    <mergeCell ref="A578:B578"/>
    <mergeCell ref="E580:F580"/>
    <mergeCell ref="E581:F581"/>
    <mergeCell ref="C582:D582"/>
    <mergeCell ref="E571:F571"/>
    <mergeCell ref="E572:F572"/>
    <mergeCell ref="C573:D573"/>
    <mergeCell ref="A574:G574"/>
    <mergeCell ref="A575:B575"/>
    <mergeCell ref="E590:F590"/>
    <mergeCell ref="C591:D591"/>
    <mergeCell ref="A592:G592"/>
    <mergeCell ref="A593:B593"/>
    <mergeCell ref="E595:F595"/>
    <mergeCell ref="A583:G583"/>
    <mergeCell ref="A584:B584"/>
    <mergeCell ref="E586:F586"/>
    <mergeCell ref="A587:B587"/>
    <mergeCell ref="E589:F589"/>
    <mergeCell ref="A603:B603"/>
    <mergeCell ref="E605:F605"/>
    <mergeCell ref="A606:B606"/>
    <mergeCell ref="E609:F609"/>
    <mergeCell ref="E610:F610"/>
    <mergeCell ref="A596:B596"/>
    <mergeCell ref="E599:F599"/>
    <mergeCell ref="E600:F600"/>
    <mergeCell ref="C601:D601"/>
    <mergeCell ref="A602:G602"/>
    <mergeCell ref="E619:F619"/>
    <mergeCell ref="E620:F620"/>
    <mergeCell ref="C621:D621"/>
    <mergeCell ref="A622:G622"/>
    <mergeCell ref="A623:B623"/>
    <mergeCell ref="C611:D611"/>
    <mergeCell ref="A612:G612"/>
    <mergeCell ref="A613:B613"/>
    <mergeCell ref="E615:F615"/>
    <mergeCell ref="A616:B616"/>
    <mergeCell ref="A632:G632"/>
    <mergeCell ref="A633:B633"/>
    <mergeCell ref="E635:F635"/>
    <mergeCell ref="A636:B636"/>
    <mergeCell ref="E639:F639"/>
    <mergeCell ref="E625:F625"/>
    <mergeCell ref="A626:B626"/>
    <mergeCell ref="E629:F629"/>
    <mergeCell ref="E630:F630"/>
    <mergeCell ref="C631:D631"/>
    <mergeCell ref="A647:B647"/>
    <mergeCell ref="E650:F650"/>
    <mergeCell ref="E651:F651"/>
    <mergeCell ref="C652:D652"/>
    <mergeCell ref="A653:G653"/>
    <mergeCell ref="E640:F640"/>
    <mergeCell ref="C641:D641"/>
    <mergeCell ref="A642:G642"/>
    <mergeCell ref="A643:B643"/>
    <mergeCell ref="E646:F646"/>
    <mergeCell ref="C662:D662"/>
    <mergeCell ref="A663:G663"/>
    <mergeCell ref="A664:B664"/>
    <mergeCell ref="E667:F667"/>
    <mergeCell ref="A668:B668"/>
    <mergeCell ref="A654:B654"/>
    <mergeCell ref="E656:F656"/>
    <mergeCell ref="A657:B657"/>
    <mergeCell ref="E660:F660"/>
    <mergeCell ref="E661:F661"/>
    <mergeCell ref="E677:F677"/>
    <mergeCell ref="A678:B678"/>
    <mergeCell ref="E681:F681"/>
    <mergeCell ref="E682:F682"/>
    <mergeCell ref="C683:D683"/>
    <mergeCell ref="E671:F671"/>
    <mergeCell ref="E672:F672"/>
    <mergeCell ref="C673:D673"/>
    <mergeCell ref="A674:G674"/>
    <mergeCell ref="A675:B675"/>
    <mergeCell ref="E692:F692"/>
    <mergeCell ref="C693:D693"/>
    <mergeCell ref="A694:G694"/>
    <mergeCell ref="A695:B695"/>
    <mergeCell ref="E697:F697"/>
    <mergeCell ref="A684:G684"/>
    <mergeCell ref="A685:B685"/>
    <mergeCell ref="E687:F687"/>
    <mergeCell ref="A688:B688"/>
    <mergeCell ref="E691:F691"/>
    <mergeCell ref="C706:D706"/>
    <mergeCell ref="A707:G707"/>
    <mergeCell ref="A708:B708"/>
    <mergeCell ref="E710:F710"/>
    <mergeCell ref="A711:B711"/>
    <mergeCell ref="A698:B698"/>
    <mergeCell ref="E701:F701"/>
    <mergeCell ref="A702:B702"/>
    <mergeCell ref="E704:F704"/>
    <mergeCell ref="E705:F705"/>
    <mergeCell ref="E723:F723"/>
    <mergeCell ref="A724:B724"/>
    <mergeCell ref="E727:F727"/>
    <mergeCell ref="E728:F728"/>
    <mergeCell ref="C729:D729"/>
    <mergeCell ref="E713:F713"/>
    <mergeCell ref="E714:F714"/>
    <mergeCell ref="C715:D715"/>
    <mergeCell ref="A716:G716"/>
    <mergeCell ref="A717:B717"/>
    <mergeCell ref="A740:G740"/>
    <mergeCell ref="A741:B741"/>
    <mergeCell ref="E750:F750"/>
    <mergeCell ref="E751:F751"/>
    <mergeCell ref="C752:D752"/>
    <mergeCell ref="A730:G730"/>
    <mergeCell ref="A731:B731"/>
    <mergeCell ref="E737:F737"/>
    <mergeCell ref="E738:F738"/>
    <mergeCell ref="C739:D739"/>
    <mergeCell ref="E761:F761"/>
    <mergeCell ref="C762:D762"/>
    <mergeCell ref="A763:G763"/>
    <mergeCell ref="A764:B764"/>
    <mergeCell ref="E766:F766"/>
    <mergeCell ref="A753:G753"/>
    <mergeCell ref="A754:B754"/>
    <mergeCell ref="E756:F756"/>
    <mergeCell ref="A757:B757"/>
    <mergeCell ref="E760:F760"/>
    <mergeCell ref="A773:B773"/>
    <mergeCell ref="E776:F776"/>
    <mergeCell ref="A777:B777"/>
    <mergeCell ref="E782:F782"/>
    <mergeCell ref="E783:F783"/>
    <mergeCell ref="A767:B767"/>
    <mergeCell ref="E769:F769"/>
    <mergeCell ref="E770:F770"/>
    <mergeCell ref="C771:D771"/>
    <mergeCell ref="A772:G772"/>
  </mergeCells>
  <pageMargins left="0.23622047244094491" right="0.23622047244094491" top="0.74803149606299213" bottom="0.74803149606299213" header="0.31496062992125984" footer="0.31496062992125984"/>
  <pageSetup paperSize="9" scale="70" fitToWidth="0" fitToHeight="0" orientation="portrait" r:id="rId1"/>
  <rowBreaks count="16" manualBreakCount="16">
    <brk id="67" max="6" man="1"/>
    <brk id="112" max="6" man="1"/>
    <brk id="240" max="6" man="1"/>
    <brk id="269" max="6" man="1"/>
    <brk id="336" max="6" man="1"/>
    <brk id="368" max="6" man="1"/>
    <brk id="398" max="6" man="1"/>
    <brk id="429" max="6" man="1"/>
    <brk id="458" max="6" man="1"/>
    <brk id="522" max="6" man="1"/>
    <brk id="555" max="6" man="1"/>
    <brk id="586" max="6" man="1"/>
    <brk id="621" max="6" man="1"/>
    <brk id="656" max="6" man="1"/>
    <brk id="723" max="6" man="1"/>
    <brk id="776"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BreakPreview" topLeftCell="B1" zoomScaleNormal="100" zoomScaleSheetLayoutView="100" workbookViewId="0">
      <selection activeCell="P14" sqref="P14"/>
    </sheetView>
  </sheetViews>
  <sheetFormatPr defaultColWidth="12.625" defaultRowHeight="15" customHeight="1"/>
  <cols>
    <col min="1" max="1" width="31.25" customWidth="1"/>
    <col min="2" max="2" width="11.625" customWidth="1"/>
    <col min="3" max="3" width="9" customWidth="1"/>
    <col min="4" max="4" width="9.625" customWidth="1"/>
    <col min="5" max="5" width="8.375" customWidth="1"/>
    <col min="6" max="20" width="9" customWidth="1"/>
    <col min="21" max="26" width="8.6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3" customHeight="1" thickBot="1">
      <c r="A2" s="1"/>
      <c r="B2" s="1"/>
      <c r="C2" s="1"/>
      <c r="D2" s="1"/>
      <c r="E2" s="1"/>
      <c r="F2" s="1"/>
      <c r="G2" s="1"/>
      <c r="H2" s="1"/>
      <c r="I2" s="1"/>
      <c r="J2" s="1"/>
      <c r="K2" s="1"/>
      <c r="L2" s="1"/>
      <c r="M2" s="1"/>
      <c r="N2" s="1"/>
      <c r="O2" s="1"/>
      <c r="P2" s="1"/>
      <c r="Q2" s="1"/>
      <c r="R2" s="1"/>
      <c r="S2" s="1"/>
      <c r="T2" s="1"/>
      <c r="U2" s="1"/>
      <c r="V2" s="1"/>
      <c r="W2" s="1"/>
      <c r="X2" s="1"/>
      <c r="Y2" s="1"/>
      <c r="Z2" s="1"/>
    </row>
    <row r="3" spans="1:26" ht="183.75" customHeight="1" thickBot="1">
      <c r="A3" s="538" t="s">
        <v>0</v>
      </c>
      <c r="B3" s="482"/>
      <c r="C3" s="539" t="s">
        <v>1</v>
      </c>
      <c r="D3" s="481"/>
      <c r="E3" s="482"/>
      <c r="F3" s="539" t="s">
        <v>2</v>
      </c>
      <c r="G3" s="481"/>
      <c r="H3" s="482"/>
      <c r="I3" s="539" t="s">
        <v>3</v>
      </c>
      <c r="J3" s="481"/>
      <c r="K3" s="482"/>
      <c r="L3" s="539" t="s">
        <v>4</v>
      </c>
      <c r="M3" s="481"/>
      <c r="N3" s="482"/>
      <c r="O3" s="539" t="s">
        <v>5</v>
      </c>
      <c r="P3" s="481"/>
      <c r="Q3" s="482"/>
      <c r="R3" s="539" t="s">
        <v>6</v>
      </c>
      <c r="S3" s="481"/>
      <c r="T3" s="482"/>
      <c r="U3" s="1"/>
      <c r="V3" s="1"/>
      <c r="W3" s="1"/>
      <c r="X3" s="1"/>
      <c r="Y3" s="1"/>
      <c r="Z3" s="1"/>
    </row>
    <row r="4" spans="1:26" ht="15.75" customHeight="1">
      <c r="A4" s="2" t="s">
        <v>7</v>
      </c>
      <c r="B4" s="3" t="s">
        <v>8</v>
      </c>
      <c r="C4" s="3" t="s">
        <v>9</v>
      </c>
      <c r="D4" s="3" t="s">
        <v>10</v>
      </c>
      <c r="E4" s="3" t="s">
        <v>11</v>
      </c>
      <c r="F4" s="4" t="s">
        <v>9</v>
      </c>
      <c r="G4" s="4" t="s">
        <v>10</v>
      </c>
      <c r="H4" s="4" t="s">
        <v>11</v>
      </c>
      <c r="I4" s="4" t="s">
        <v>9</v>
      </c>
      <c r="J4" s="4" t="s">
        <v>10</v>
      </c>
      <c r="K4" s="4" t="s">
        <v>11</v>
      </c>
      <c r="L4" s="4" t="s">
        <v>9</v>
      </c>
      <c r="M4" s="4" t="s">
        <v>10</v>
      </c>
      <c r="N4" s="4" t="s">
        <v>11</v>
      </c>
      <c r="O4" s="4" t="s">
        <v>9</v>
      </c>
      <c r="P4" s="4" t="s">
        <v>10</v>
      </c>
      <c r="Q4" s="4" t="s">
        <v>11</v>
      </c>
      <c r="R4" s="4" t="s">
        <v>9</v>
      </c>
      <c r="S4" s="4" t="s">
        <v>10</v>
      </c>
      <c r="T4" s="4" t="s">
        <v>11</v>
      </c>
      <c r="U4" s="1"/>
      <c r="V4" s="1"/>
      <c r="W4" s="1"/>
      <c r="X4" s="1"/>
      <c r="Y4" s="1"/>
      <c r="Z4" s="1"/>
    </row>
    <row r="5" spans="1:26" ht="12.75" customHeight="1">
      <c r="A5" s="56" t="s">
        <v>12</v>
      </c>
      <c r="B5" s="83">
        <v>5.5</v>
      </c>
      <c r="C5" s="5">
        <v>3</v>
      </c>
      <c r="D5" s="5">
        <v>4</v>
      </c>
      <c r="E5" s="5">
        <v>5.5</v>
      </c>
      <c r="F5" s="5">
        <v>3.8</v>
      </c>
      <c r="G5" s="6">
        <v>4.01</v>
      </c>
      <c r="H5" s="6">
        <v>4.67</v>
      </c>
      <c r="I5" s="6">
        <v>3.43</v>
      </c>
      <c r="J5" s="6">
        <v>4.93</v>
      </c>
      <c r="K5" s="6">
        <v>6.71</v>
      </c>
      <c r="L5" s="7">
        <v>1.5</v>
      </c>
      <c r="M5" s="7">
        <v>3.45</v>
      </c>
      <c r="N5" s="7">
        <v>4.49</v>
      </c>
      <c r="O5" s="7">
        <v>5.29</v>
      </c>
      <c r="P5" s="7">
        <v>5.92</v>
      </c>
      <c r="Q5" s="7">
        <v>7.93</v>
      </c>
      <c r="R5" s="6">
        <v>4</v>
      </c>
      <c r="S5" s="6">
        <v>5.52</v>
      </c>
      <c r="T5" s="6" t="s">
        <v>13</v>
      </c>
      <c r="U5" s="1"/>
      <c r="V5" s="1"/>
      <c r="W5" s="1"/>
      <c r="X5" s="1"/>
      <c r="Y5" s="1"/>
      <c r="Z5" s="1"/>
    </row>
    <row r="6" spans="1:26" ht="12.75" customHeight="1">
      <c r="A6" s="57" t="s">
        <v>14</v>
      </c>
      <c r="B6" s="88">
        <v>1</v>
      </c>
      <c r="C6" s="58">
        <v>0.8</v>
      </c>
      <c r="D6" s="58">
        <v>0.8</v>
      </c>
      <c r="E6" s="58">
        <v>1</v>
      </c>
      <c r="F6" s="58">
        <v>0.32</v>
      </c>
      <c r="G6" s="7">
        <v>0.4</v>
      </c>
      <c r="H6" s="7">
        <v>0.74</v>
      </c>
      <c r="I6" s="7">
        <v>0.28000000000000003</v>
      </c>
      <c r="J6" s="7">
        <v>0.49</v>
      </c>
      <c r="K6" s="7">
        <v>0.75</v>
      </c>
      <c r="L6" s="7">
        <v>0.3</v>
      </c>
      <c r="M6" s="7">
        <v>0.48</v>
      </c>
      <c r="N6" s="7">
        <v>0.82</v>
      </c>
      <c r="O6" s="7">
        <v>0.25</v>
      </c>
      <c r="P6" s="7">
        <v>0.51</v>
      </c>
      <c r="Q6" s="7">
        <v>0.56000000000000005</v>
      </c>
      <c r="R6" s="7">
        <v>0.81</v>
      </c>
      <c r="S6" s="7">
        <v>1.22</v>
      </c>
      <c r="T6" s="7">
        <v>1.99</v>
      </c>
      <c r="U6" s="1"/>
      <c r="V6" s="1"/>
      <c r="W6" s="1"/>
      <c r="X6" s="1"/>
      <c r="Y6" s="1"/>
      <c r="Z6" s="1"/>
    </row>
    <row r="7" spans="1:26" ht="12.75" customHeight="1">
      <c r="A7" s="57" t="s">
        <v>15</v>
      </c>
      <c r="B7" s="88">
        <v>1.27</v>
      </c>
      <c r="C7" s="58">
        <v>0.97</v>
      </c>
      <c r="D7" s="58">
        <v>1.27</v>
      </c>
      <c r="E7" s="58">
        <v>1.27</v>
      </c>
      <c r="F7" s="58">
        <v>0.5</v>
      </c>
      <c r="G7" s="7">
        <v>0.56000000000000005</v>
      </c>
      <c r="H7" s="7">
        <v>0.97</v>
      </c>
      <c r="I7" s="7">
        <v>1</v>
      </c>
      <c r="J7" s="7">
        <v>1.39</v>
      </c>
      <c r="K7" s="7">
        <v>1.74</v>
      </c>
      <c r="L7" s="7">
        <v>0.56000000000000005</v>
      </c>
      <c r="M7" s="7">
        <v>0.85</v>
      </c>
      <c r="N7" s="7">
        <v>0.89</v>
      </c>
      <c r="O7" s="7">
        <v>1</v>
      </c>
      <c r="P7" s="7">
        <v>1.48</v>
      </c>
      <c r="Q7" s="7">
        <v>1.97</v>
      </c>
      <c r="R7" s="7">
        <v>1.46</v>
      </c>
      <c r="S7" s="7">
        <v>2.3199999999999998</v>
      </c>
      <c r="T7" s="7">
        <v>3.16</v>
      </c>
      <c r="U7" s="1"/>
      <c r="V7" s="1"/>
      <c r="W7" s="1"/>
      <c r="X7" s="1"/>
      <c r="Y7" s="1"/>
      <c r="Z7" s="1"/>
    </row>
    <row r="8" spans="1:26" ht="12.75" customHeight="1">
      <c r="A8" s="57" t="s">
        <v>16</v>
      </c>
      <c r="B8" s="88">
        <v>1.39</v>
      </c>
      <c r="C8" s="58">
        <v>0.59</v>
      </c>
      <c r="D8" s="58">
        <v>1.23</v>
      </c>
      <c r="E8" s="58">
        <v>1.39</v>
      </c>
      <c r="F8" s="58">
        <v>1.02</v>
      </c>
      <c r="G8" s="7">
        <v>1.1100000000000001</v>
      </c>
      <c r="H8" s="58">
        <v>1.21</v>
      </c>
      <c r="I8" s="7">
        <v>0.94</v>
      </c>
      <c r="J8" s="7">
        <v>0.99</v>
      </c>
      <c r="K8" s="58">
        <v>1.17</v>
      </c>
      <c r="L8" s="7">
        <v>0.85</v>
      </c>
      <c r="M8" s="7">
        <v>0.85</v>
      </c>
      <c r="N8" s="58">
        <v>1.1100000000000001</v>
      </c>
      <c r="O8" s="7">
        <v>1.01</v>
      </c>
      <c r="P8" s="7">
        <v>1.07</v>
      </c>
      <c r="Q8" s="58">
        <v>1.1100000000000001</v>
      </c>
      <c r="R8" s="7">
        <v>0.94</v>
      </c>
      <c r="S8" s="7">
        <v>1.02</v>
      </c>
      <c r="T8" s="58">
        <v>1.33</v>
      </c>
      <c r="U8" s="1"/>
      <c r="V8" s="1"/>
      <c r="W8" s="1"/>
      <c r="X8" s="1"/>
      <c r="Y8" s="1"/>
      <c r="Z8" s="1"/>
    </row>
    <row r="9" spans="1:26" ht="12.75" customHeight="1">
      <c r="A9" s="57" t="s">
        <v>17</v>
      </c>
      <c r="B9" s="88">
        <v>7.93</v>
      </c>
      <c r="C9" s="8">
        <v>6.16</v>
      </c>
      <c r="D9" s="59">
        <v>7.4</v>
      </c>
      <c r="E9" s="8">
        <v>8.9600000000000009</v>
      </c>
      <c r="F9" s="60">
        <v>6.64</v>
      </c>
      <c r="G9" s="60">
        <v>7.3</v>
      </c>
      <c r="H9" s="8">
        <v>8.69</v>
      </c>
      <c r="I9" s="60">
        <v>6.74</v>
      </c>
      <c r="J9" s="60">
        <v>8.0399999999999991</v>
      </c>
      <c r="K9" s="8">
        <v>9.4</v>
      </c>
      <c r="L9" s="7">
        <v>3.5</v>
      </c>
      <c r="M9" s="7">
        <v>5.1100000000000003</v>
      </c>
      <c r="N9" s="8">
        <v>6.22</v>
      </c>
      <c r="O9" s="8">
        <v>8</v>
      </c>
      <c r="P9" s="60">
        <v>8.31</v>
      </c>
      <c r="Q9" s="8">
        <v>9.51</v>
      </c>
      <c r="R9" s="60">
        <v>7.14</v>
      </c>
      <c r="S9" s="60">
        <v>8.4</v>
      </c>
      <c r="T9" s="8">
        <v>10.43</v>
      </c>
      <c r="U9" s="1"/>
      <c r="V9" s="1"/>
      <c r="W9" s="1"/>
      <c r="X9" s="1"/>
      <c r="Y9" s="1"/>
      <c r="Z9" s="1"/>
    </row>
    <row r="10" spans="1:26" ht="12.75" customHeight="1">
      <c r="A10" s="61" t="s">
        <v>18</v>
      </c>
      <c r="B10" s="94">
        <f>5.65+4.5</f>
        <v>10.15</v>
      </c>
      <c r="C10" s="540" t="s">
        <v>19</v>
      </c>
      <c r="D10" s="536"/>
      <c r="E10" s="536"/>
      <c r="F10" s="536"/>
      <c r="G10" s="536"/>
      <c r="H10" s="536"/>
      <c r="I10" s="536"/>
      <c r="J10" s="536"/>
      <c r="K10" s="536"/>
      <c r="L10" s="536"/>
      <c r="M10" s="536"/>
      <c r="N10" s="536"/>
      <c r="O10" s="536"/>
      <c r="P10" s="536"/>
      <c r="Q10" s="536"/>
      <c r="R10" s="536"/>
      <c r="S10" s="536"/>
      <c r="T10" s="537"/>
      <c r="U10" s="1"/>
      <c r="V10" s="1"/>
      <c r="W10" s="1"/>
      <c r="X10" s="1"/>
      <c r="Y10" s="1"/>
      <c r="Z10" s="1"/>
    </row>
    <row r="11" spans="1:26" ht="12.75" customHeight="1" thickBot="1">
      <c r="A11" s="1"/>
      <c r="B11" s="1"/>
      <c r="C11" s="9"/>
      <c r="D11" s="9"/>
      <c r="E11" s="9"/>
      <c r="F11" s="1"/>
      <c r="G11" s="1"/>
      <c r="H11" s="1"/>
      <c r="I11" s="1"/>
      <c r="J11" s="1"/>
      <c r="K11" s="1"/>
      <c r="L11" s="1"/>
      <c r="M11" s="1"/>
      <c r="N11" s="1"/>
      <c r="O11" s="1"/>
      <c r="P11" s="1"/>
      <c r="Q11" s="1"/>
      <c r="R11" s="1"/>
      <c r="S11" s="1"/>
      <c r="T11" s="1"/>
      <c r="U11" s="1"/>
      <c r="V11" s="1"/>
      <c r="W11" s="1"/>
      <c r="X11" s="1"/>
      <c r="Y11" s="1"/>
      <c r="Z11" s="1"/>
    </row>
    <row r="12" spans="1:26" ht="12.75" customHeight="1" thickBot="1">
      <c r="B12" s="10"/>
      <c r="C12" s="10"/>
      <c r="D12" s="10"/>
      <c r="E12" s="9"/>
      <c r="F12" s="480" t="s">
        <v>20</v>
      </c>
      <c r="G12" s="481"/>
      <c r="H12" s="481"/>
      <c r="I12" s="481"/>
      <c r="J12" s="481"/>
      <c r="K12" s="481"/>
      <c r="L12" s="481"/>
      <c r="M12" s="481"/>
      <c r="N12" s="482"/>
      <c r="O12" s="1"/>
      <c r="P12" s="1"/>
      <c r="Q12" s="1"/>
      <c r="R12" s="1"/>
      <c r="S12" s="1"/>
      <c r="T12" s="1"/>
      <c r="U12" s="1"/>
      <c r="V12" s="1"/>
      <c r="W12" s="1"/>
      <c r="X12" s="1"/>
      <c r="Y12" s="1"/>
      <c r="Z12" s="1"/>
    </row>
    <row r="13" spans="1:26" ht="18.75" customHeight="1" thickBot="1">
      <c r="A13" s="1"/>
      <c r="B13" s="1"/>
      <c r="C13" s="1"/>
      <c r="D13" s="1"/>
      <c r="E13" s="9"/>
      <c r="F13" s="480" t="s">
        <v>21</v>
      </c>
      <c r="G13" s="481"/>
      <c r="H13" s="481"/>
      <c r="I13" s="481"/>
      <c r="J13" s="481"/>
      <c r="K13" s="481"/>
      <c r="L13" s="11" t="s">
        <v>9</v>
      </c>
      <c r="M13" s="12" t="s">
        <v>10</v>
      </c>
      <c r="N13" s="13" t="s">
        <v>11</v>
      </c>
      <c r="O13" s="1"/>
      <c r="P13" s="10"/>
      <c r="Q13" s="1"/>
      <c r="R13" s="1"/>
      <c r="S13" s="1"/>
      <c r="T13" s="1"/>
      <c r="U13" s="1"/>
      <c r="V13" s="1"/>
      <c r="W13" s="1"/>
      <c r="X13" s="1"/>
      <c r="Y13" s="1"/>
      <c r="Z13" s="1"/>
    </row>
    <row r="14" spans="1:26" ht="25.5" customHeight="1">
      <c r="A14" s="14" t="s">
        <v>22</v>
      </c>
      <c r="B14" s="15">
        <f>ROUND(((1+(B5+B6+B7)/100)*((1+B8/100)*(1+B9/100))/(1-B10/100))-1,4)</f>
        <v>0.31259999999999999</v>
      </c>
      <c r="C14" s="16"/>
      <c r="D14" s="16"/>
      <c r="E14" s="9"/>
      <c r="F14" s="541" t="s">
        <v>23</v>
      </c>
      <c r="G14" s="542"/>
      <c r="H14" s="542"/>
      <c r="I14" s="542"/>
      <c r="J14" s="542"/>
      <c r="K14" s="543"/>
      <c r="L14" s="17">
        <v>20.34</v>
      </c>
      <c r="M14" s="17">
        <v>22.12</v>
      </c>
      <c r="N14" s="17">
        <v>25</v>
      </c>
      <c r="O14" s="1"/>
      <c r="P14" s="10"/>
      <c r="Q14" s="77"/>
      <c r="R14" s="1"/>
      <c r="S14" s="1"/>
      <c r="T14" s="1"/>
      <c r="U14" s="1"/>
      <c r="V14" s="1"/>
      <c r="W14" s="1"/>
      <c r="X14" s="1"/>
      <c r="Y14" s="1"/>
      <c r="Z14" s="1"/>
    </row>
    <row r="15" spans="1:26" ht="25.5" customHeight="1">
      <c r="A15" s="535" t="s">
        <v>24</v>
      </c>
      <c r="B15" s="536"/>
      <c r="C15" s="536"/>
      <c r="D15" s="537"/>
      <c r="E15" s="9"/>
      <c r="F15" s="529" t="s">
        <v>25</v>
      </c>
      <c r="G15" s="530"/>
      <c r="H15" s="530"/>
      <c r="I15" s="530"/>
      <c r="J15" s="530"/>
      <c r="K15" s="531"/>
      <c r="L15" s="18">
        <v>19.600000000000001</v>
      </c>
      <c r="M15" s="18">
        <v>20.97</v>
      </c>
      <c r="N15" s="18">
        <v>24.23</v>
      </c>
      <c r="O15" s="1"/>
      <c r="P15" s="10"/>
      <c r="Q15" s="77"/>
      <c r="R15" s="1"/>
      <c r="S15" s="1"/>
      <c r="T15" s="1"/>
      <c r="U15" s="1"/>
      <c r="V15" s="1"/>
      <c r="W15" s="1"/>
      <c r="X15" s="1"/>
      <c r="Y15" s="1"/>
      <c r="Z15" s="1"/>
    </row>
    <row r="16" spans="1:26" ht="41.25" customHeight="1">
      <c r="A16" s="19"/>
      <c r="B16" s="16"/>
      <c r="C16" s="16"/>
      <c r="D16" s="16"/>
      <c r="E16" s="20"/>
      <c r="F16" s="529" t="s">
        <v>26</v>
      </c>
      <c r="G16" s="530"/>
      <c r="H16" s="530"/>
      <c r="I16" s="530"/>
      <c r="J16" s="530"/>
      <c r="K16" s="531"/>
      <c r="L16" s="18">
        <v>20.76</v>
      </c>
      <c r="M16" s="18">
        <v>24.18</v>
      </c>
      <c r="N16" s="18">
        <v>26.44</v>
      </c>
      <c r="O16" s="1"/>
      <c r="P16" s="10"/>
      <c r="Q16" s="77"/>
      <c r="R16" s="1"/>
      <c r="S16" s="1"/>
      <c r="T16" s="1"/>
      <c r="U16" s="1"/>
      <c r="V16" s="1"/>
      <c r="W16" s="1"/>
      <c r="X16" s="1"/>
      <c r="Y16" s="1"/>
      <c r="Z16" s="1"/>
    </row>
    <row r="17" spans="1:26" ht="29.25" customHeight="1">
      <c r="A17" s="21"/>
      <c r="B17" s="62"/>
      <c r="C17" s="63"/>
      <c r="D17" s="22"/>
      <c r="E17" s="20"/>
      <c r="F17" s="529" t="s">
        <v>27</v>
      </c>
      <c r="G17" s="530"/>
      <c r="H17" s="530"/>
      <c r="I17" s="530"/>
      <c r="J17" s="530"/>
      <c r="K17" s="531"/>
      <c r="L17" s="18">
        <v>24</v>
      </c>
      <c r="M17" s="18">
        <v>25.84</v>
      </c>
      <c r="N17" s="18">
        <v>27.86</v>
      </c>
      <c r="O17" s="1"/>
      <c r="P17" s="10"/>
      <c r="Q17" s="77"/>
      <c r="R17" s="1"/>
      <c r="S17" s="1"/>
      <c r="T17" s="1"/>
      <c r="U17" s="1"/>
      <c r="V17" s="1"/>
      <c r="W17" s="1"/>
      <c r="X17" s="1"/>
      <c r="Y17" s="1"/>
      <c r="Z17" s="1"/>
    </row>
    <row r="18" spans="1:26" ht="30.75" customHeight="1">
      <c r="A18" s="1"/>
      <c r="B18" s="1"/>
      <c r="C18" s="1"/>
      <c r="D18" s="1"/>
      <c r="E18" s="1"/>
      <c r="F18" s="529" t="s">
        <v>28</v>
      </c>
      <c r="G18" s="530"/>
      <c r="H18" s="530"/>
      <c r="I18" s="530"/>
      <c r="J18" s="530"/>
      <c r="K18" s="531"/>
      <c r="L18" s="18">
        <v>22.8</v>
      </c>
      <c r="M18" s="18">
        <v>27.48</v>
      </c>
      <c r="N18" s="18">
        <v>30.95</v>
      </c>
      <c r="O18" s="1"/>
      <c r="P18" s="10"/>
      <c r="Q18" s="77"/>
      <c r="R18" s="1"/>
      <c r="S18" s="1"/>
      <c r="T18" s="1"/>
      <c r="U18" s="1"/>
      <c r="V18" s="1"/>
      <c r="W18" s="1"/>
      <c r="X18" s="1"/>
      <c r="Y18" s="1"/>
      <c r="Z18" s="1"/>
    </row>
    <row r="19" spans="1:26" ht="22.5" customHeight="1">
      <c r="A19" s="1"/>
      <c r="B19" s="1"/>
      <c r="C19" s="1"/>
      <c r="D19" s="1"/>
      <c r="E19" s="1"/>
      <c r="F19" s="532" t="s">
        <v>29</v>
      </c>
      <c r="G19" s="533"/>
      <c r="H19" s="533"/>
      <c r="I19" s="533"/>
      <c r="J19" s="533"/>
      <c r="K19" s="534"/>
      <c r="L19" s="23">
        <v>11.1</v>
      </c>
      <c r="M19" s="23">
        <v>14.02</v>
      </c>
      <c r="N19" s="23">
        <v>16.8</v>
      </c>
      <c r="O19" s="1"/>
      <c r="P19" s="1"/>
      <c r="Q19" s="77"/>
      <c r="R19" s="1"/>
      <c r="S19" s="1"/>
      <c r="T19" s="1"/>
      <c r="U19" s="1"/>
      <c r="V19" s="1"/>
      <c r="W19" s="1"/>
      <c r="X19" s="1"/>
      <c r="Y19" s="1"/>
      <c r="Z19" s="1"/>
    </row>
    <row r="20" spans="1:26" ht="26.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thickBot="1">
      <c r="A23" s="64" t="s">
        <v>30</v>
      </c>
      <c r="B23" s="65"/>
      <c r="C23" s="65"/>
      <c r="D23" s="65"/>
      <c r="E23" s="1"/>
      <c r="F23" s="1"/>
      <c r="G23" s="1"/>
      <c r="H23" s="1"/>
      <c r="I23" s="1"/>
      <c r="J23" s="1"/>
      <c r="K23" s="1"/>
      <c r="L23" s="1"/>
      <c r="M23" s="1"/>
      <c r="N23" s="1"/>
      <c r="O23" s="1"/>
      <c r="P23" s="1"/>
      <c r="Q23" s="1"/>
      <c r="R23" s="1"/>
      <c r="S23" s="1"/>
      <c r="T23" s="1"/>
      <c r="U23" s="1"/>
      <c r="V23" s="1"/>
      <c r="W23" s="1"/>
      <c r="X23" s="1"/>
      <c r="Y23" s="1"/>
      <c r="Z23" s="1"/>
    </row>
    <row r="24" spans="1:26" ht="12.75" customHeight="1">
      <c r="A24" s="24" t="s">
        <v>31</v>
      </c>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0" t="s">
        <v>32</v>
      </c>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0" t="s">
        <v>33</v>
      </c>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0" t="s">
        <v>34</v>
      </c>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0" t="s">
        <v>35</v>
      </c>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7">
    <mergeCell ref="F13:K13"/>
    <mergeCell ref="F14:K14"/>
    <mergeCell ref="L3:N3"/>
    <mergeCell ref="O3:Q3"/>
    <mergeCell ref="I3:K3"/>
    <mergeCell ref="F3:H3"/>
    <mergeCell ref="A3:B3"/>
    <mergeCell ref="C3:E3"/>
    <mergeCell ref="R3:T3"/>
    <mergeCell ref="C10:T10"/>
    <mergeCell ref="F12:N12"/>
    <mergeCell ref="F16:K16"/>
    <mergeCell ref="F17:K17"/>
    <mergeCell ref="F18:K18"/>
    <mergeCell ref="F19:K19"/>
    <mergeCell ref="A15:D15"/>
    <mergeCell ref="F15:K15"/>
  </mergeCells>
  <printOptions horizontalCentered="1"/>
  <pageMargins left="0.25" right="0.25" top="0.75" bottom="0.75" header="0.3" footer="0.3"/>
  <pageSetup paperSize="9" scale="8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5"/>
  <sheetViews>
    <sheetView view="pageBreakPreview" topLeftCell="C1" zoomScaleNormal="100" zoomScaleSheetLayoutView="100" workbookViewId="0">
      <selection activeCell="P14" sqref="P14"/>
    </sheetView>
  </sheetViews>
  <sheetFormatPr defaultColWidth="12.625" defaultRowHeight="15" customHeight="1"/>
  <cols>
    <col min="1" max="1" width="10" style="128" customWidth="1"/>
    <col min="2" max="2" width="10.75" style="128" customWidth="1"/>
    <col min="3" max="3" width="12" style="128" customWidth="1"/>
    <col min="4" max="4" width="59.25" style="128" customWidth="1"/>
    <col min="5" max="5" width="8" style="128" customWidth="1"/>
    <col min="6" max="6" width="11.25" style="128" customWidth="1"/>
    <col min="7" max="7" width="15.125" style="128" customWidth="1"/>
    <col min="8" max="8" width="9.375" style="128" customWidth="1"/>
    <col min="9" max="9" width="14.625" style="128" customWidth="1"/>
    <col min="10" max="10" width="16.25" style="128" customWidth="1"/>
    <col min="11" max="11" width="13.25" style="128" customWidth="1"/>
    <col min="12" max="12" width="11.375" style="128" hidden="1" customWidth="1"/>
    <col min="13" max="13" width="16.25" style="128" customWidth="1"/>
    <col min="14" max="22" width="9" style="128" customWidth="1"/>
    <col min="23" max="16384" width="12.625" style="128"/>
  </cols>
  <sheetData>
    <row r="1" spans="1:41" s="119" customFormat="1" ht="100.5" customHeight="1">
      <c r="A1" s="494"/>
      <c r="B1" s="494"/>
      <c r="C1" s="494"/>
      <c r="D1" s="494"/>
      <c r="E1" s="494"/>
      <c r="F1" s="494"/>
      <c r="G1" s="494"/>
      <c r="H1" s="494"/>
      <c r="I1" s="494"/>
      <c r="J1" s="494"/>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41" ht="5.25" customHeight="1">
      <c r="A2" s="120"/>
      <c r="B2" s="121"/>
      <c r="C2" s="121"/>
      <c r="D2" s="122"/>
      <c r="E2" s="123"/>
      <c r="F2" s="124"/>
      <c r="G2" s="125"/>
      <c r="H2" s="125"/>
      <c r="I2" s="125"/>
      <c r="J2" s="126"/>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row>
    <row r="3" spans="1:41" ht="21" customHeight="1">
      <c r="A3" s="492" t="str">
        <f>'ORÇAMENTO SINTÉTICO (NÃO DESON)'!$A$3:$J$3</f>
        <v>PREFEITURA MUNICIPAL DE CABO FRIO</v>
      </c>
      <c r="B3" s="492"/>
      <c r="C3" s="492"/>
      <c r="D3" s="492"/>
      <c r="E3" s="492"/>
      <c r="F3" s="492"/>
      <c r="G3" s="492"/>
      <c r="H3" s="492"/>
      <c r="I3" s="492"/>
      <c r="J3" s="492"/>
      <c r="K3" s="129"/>
      <c r="L3" s="129"/>
      <c r="M3" s="129"/>
      <c r="N3" s="129"/>
      <c r="O3" s="129"/>
      <c r="P3" s="129"/>
      <c r="Q3" s="129"/>
      <c r="R3" s="129"/>
      <c r="S3" s="129"/>
      <c r="T3" s="129"/>
      <c r="U3" s="129"/>
      <c r="V3" s="129"/>
    </row>
    <row r="4" spans="1:41" ht="5.25" customHeight="1">
      <c r="A4" s="120"/>
      <c r="B4" s="121"/>
      <c r="C4" s="121"/>
      <c r="D4" s="122"/>
      <c r="E4" s="123"/>
      <c r="F4" s="124"/>
      <c r="G4" s="125"/>
      <c r="H4" s="125"/>
      <c r="I4" s="125"/>
      <c r="J4" s="126"/>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row>
    <row r="5" spans="1:41" ht="18">
      <c r="A5" s="485" t="s">
        <v>913</v>
      </c>
      <c r="B5" s="485"/>
      <c r="C5" s="486" t="str">
        <f>'ORÇAMENTO SINTÉTICO (NÃO DESON)'!$C$5</f>
        <v>CONSTRUÇÃO DA CRECHE ESCOLA TAMOIOS</v>
      </c>
      <c r="D5" s="504"/>
      <c r="E5" s="504"/>
      <c r="F5" s="130"/>
      <c r="G5" s="495" t="s">
        <v>40</v>
      </c>
      <c r="H5" s="495"/>
      <c r="I5" s="495"/>
      <c r="J5" s="131">
        <f>'CÁLCULO BDI (DESON.)'!$B$14</f>
        <v>0.31259999999999999</v>
      </c>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row>
    <row r="6" spans="1:41" ht="18" customHeight="1">
      <c r="A6" s="485" t="s">
        <v>914</v>
      </c>
      <c r="B6" s="485"/>
      <c r="C6" s="486" t="str">
        <f>'ORÇAMENTO SINTÉTICO (NÃO DESON)'!$C$6</f>
        <v>AV. INDEPENDÊNCIA, S/N, CONDOMÍNIO VERÃO VERMELHO, TAMOIOS</v>
      </c>
      <c r="D6" s="504"/>
      <c r="E6" s="504"/>
      <c r="F6" s="130"/>
      <c r="G6" s="487" t="s">
        <v>455</v>
      </c>
      <c r="H6" s="487"/>
      <c r="I6" s="487"/>
      <c r="J6" s="488">
        <f>BDI!$B$13</f>
        <v>0.16800000000000001</v>
      </c>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row>
    <row r="7" spans="1:41" ht="18">
      <c r="A7" s="120"/>
      <c r="B7" s="121"/>
      <c r="C7" s="121"/>
      <c r="D7" s="122"/>
      <c r="E7" s="123"/>
      <c r="F7" s="124"/>
      <c r="G7" s="487"/>
      <c r="H7" s="487"/>
      <c r="I7" s="487"/>
      <c r="J7" s="489"/>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row>
    <row r="8" spans="1:41" ht="5.25" customHeight="1">
      <c r="A8" s="120"/>
      <c r="B8" s="121"/>
      <c r="C8" s="121"/>
      <c r="D8" s="122"/>
      <c r="E8" s="123"/>
      <c r="F8" s="124"/>
      <c r="G8" s="125"/>
      <c r="H8" s="125"/>
      <c r="I8" s="125"/>
      <c r="J8" s="126"/>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row>
    <row r="9" spans="1:41" ht="40.5" customHeight="1">
      <c r="A9" s="490" t="s">
        <v>490</v>
      </c>
      <c r="B9" s="490"/>
      <c r="C9" s="493" t="str">
        <f>'ORÇAMENTO SINTÉTICO (NÃO DESON)'!$C$9</f>
        <v>SINAPI - SETEMBRO/2023, EMOP - AGOSTO/2023</v>
      </c>
      <c r="D9" s="493"/>
      <c r="E9" s="493"/>
      <c r="F9" s="132"/>
      <c r="G9" s="491" t="s">
        <v>933</v>
      </c>
      <c r="H9" s="491"/>
      <c r="I9" s="491"/>
      <c r="J9" s="491"/>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row>
    <row r="10" spans="1:41" ht="15" customHeight="1">
      <c r="A10" s="490"/>
      <c r="B10" s="490"/>
      <c r="C10" s="493"/>
      <c r="D10" s="493"/>
      <c r="E10" s="493"/>
      <c r="F10" s="132"/>
      <c r="G10" s="491"/>
      <c r="H10" s="491"/>
      <c r="I10" s="491"/>
      <c r="J10" s="491"/>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row>
    <row r="11" spans="1:41" ht="10.5" customHeight="1">
      <c r="A11" s="133"/>
      <c r="C11" s="134"/>
      <c r="D11" s="135"/>
      <c r="E11" s="129"/>
      <c r="F11" s="136"/>
      <c r="J11" s="137"/>
      <c r="K11" s="138"/>
      <c r="L11" s="138"/>
      <c r="M11" s="138"/>
      <c r="N11" s="138"/>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row>
    <row r="12" spans="1:41" ht="21" customHeight="1">
      <c r="A12" s="492" t="s">
        <v>1116</v>
      </c>
      <c r="B12" s="492"/>
      <c r="C12" s="492"/>
      <c r="D12" s="492"/>
      <c r="E12" s="492"/>
      <c r="F12" s="492"/>
      <c r="G12" s="492"/>
      <c r="H12" s="492"/>
      <c r="I12" s="492"/>
      <c r="J12" s="492"/>
      <c r="K12" s="129"/>
      <c r="L12" s="129"/>
      <c r="M12" s="129"/>
      <c r="N12" s="129"/>
      <c r="O12" s="129"/>
      <c r="P12" s="129"/>
      <c r="Q12" s="129"/>
      <c r="R12" s="129"/>
      <c r="S12" s="129"/>
      <c r="T12" s="129"/>
      <c r="U12" s="129"/>
      <c r="V12" s="129"/>
    </row>
    <row r="13" spans="1:41" s="119" customFormat="1" ht="14.25" customHeight="1"/>
    <row r="14" spans="1:41" ht="30">
      <c r="A14" s="139" t="s">
        <v>41</v>
      </c>
      <c r="B14" s="139" t="s">
        <v>924</v>
      </c>
      <c r="C14" s="139" t="s">
        <v>925</v>
      </c>
      <c r="D14" s="139" t="s">
        <v>926</v>
      </c>
      <c r="E14" s="139" t="s">
        <v>927</v>
      </c>
      <c r="F14" s="139" t="s">
        <v>928</v>
      </c>
      <c r="G14" s="139" t="s">
        <v>929</v>
      </c>
      <c r="H14" s="139" t="s">
        <v>967</v>
      </c>
      <c r="I14" s="139" t="s">
        <v>930</v>
      </c>
      <c r="J14" s="139" t="s">
        <v>910</v>
      </c>
    </row>
    <row r="15" spans="1:41" ht="5.0999999999999996" customHeight="1">
      <c r="A15" s="146"/>
      <c r="B15" s="146"/>
      <c r="C15" s="146"/>
      <c r="D15" s="146"/>
      <c r="E15" s="146"/>
      <c r="F15" s="146"/>
      <c r="G15" s="146"/>
      <c r="H15" s="146"/>
      <c r="I15" s="146"/>
      <c r="J15" s="146"/>
    </row>
    <row r="16" spans="1:41" s="237" customFormat="1" ht="15" customHeight="1">
      <c r="A16" s="241" t="s">
        <v>1113</v>
      </c>
      <c r="B16" s="242" t="s">
        <v>921</v>
      </c>
      <c r="C16" s="242"/>
      <c r="D16" s="242"/>
      <c r="E16" s="242"/>
      <c r="F16" s="242"/>
      <c r="G16" s="242"/>
      <c r="H16" s="242"/>
      <c r="I16" s="242"/>
      <c r="J16" s="243">
        <v>469421.3</v>
      </c>
    </row>
    <row r="17" spans="1:10" s="237" customFormat="1" ht="28.5">
      <c r="A17" s="416" t="s">
        <v>73</v>
      </c>
      <c r="B17" s="417" t="s">
        <v>1007</v>
      </c>
      <c r="C17" s="417" t="s">
        <v>1396</v>
      </c>
      <c r="D17" s="416" t="s">
        <v>1397</v>
      </c>
      <c r="E17" s="417" t="s">
        <v>1398</v>
      </c>
      <c r="F17" s="418">
        <v>10</v>
      </c>
      <c r="G17" s="419">
        <v>381.25</v>
      </c>
      <c r="H17" s="418">
        <v>31.26</v>
      </c>
      <c r="I17" s="419">
        <v>500.43</v>
      </c>
      <c r="J17" s="419">
        <v>5004.3</v>
      </c>
    </row>
    <row r="18" spans="1:10" s="237" customFormat="1" ht="14.25">
      <c r="A18" s="416" t="s">
        <v>263</v>
      </c>
      <c r="B18" s="417" t="s">
        <v>1399</v>
      </c>
      <c r="C18" s="417" t="s">
        <v>1400</v>
      </c>
      <c r="D18" s="416" t="s">
        <v>1401</v>
      </c>
      <c r="E18" s="417" t="s">
        <v>1398</v>
      </c>
      <c r="F18" s="418">
        <v>436.41</v>
      </c>
      <c r="G18" s="419">
        <v>148.30000000000001</v>
      </c>
      <c r="H18" s="418">
        <v>31.26</v>
      </c>
      <c r="I18" s="419">
        <v>194.66</v>
      </c>
      <c r="J18" s="419">
        <v>84951.57</v>
      </c>
    </row>
    <row r="19" spans="1:10" s="237" customFormat="1" ht="28.5">
      <c r="A19" s="416" t="s">
        <v>264</v>
      </c>
      <c r="B19" s="417" t="s">
        <v>1008</v>
      </c>
      <c r="C19" s="417" t="s">
        <v>1396</v>
      </c>
      <c r="D19" s="416" t="s">
        <v>1402</v>
      </c>
      <c r="E19" s="417" t="s">
        <v>1403</v>
      </c>
      <c r="F19" s="418">
        <v>1</v>
      </c>
      <c r="G19" s="419">
        <v>2418.81</v>
      </c>
      <c r="H19" s="418">
        <v>31.26</v>
      </c>
      <c r="I19" s="419">
        <v>3174.93</v>
      </c>
      <c r="J19" s="419">
        <v>3174.93</v>
      </c>
    </row>
    <row r="20" spans="1:10" s="237" customFormat="1" ht="42.75">
      <c r="A20" s="416" t="s">
        <v>265</v>
      </c>
      <c r="B20" s="417" t="s">
        <v>1404</v>
      </c>
      <c r="C20" s="417" t="s">
        <v>1400</v>
      </c>
      <c r="D20" s="416" t="s">
        <v>1405</v>
      </c>
      <c r="E20" s="417" t="s">
        <v>1403</v>
      </c>
      <c r="F20" s="418">
        <v>1</v>
      </c>
      <c r="G20" s="419">
        <v>8070.38</v>
      </c>
      <c r="H20" s="418">
        <v>31.26</v>
      </c>
      <c r="I20" s="419">
        <v>10593.18</v>
      </c>
      <c r="J20" s="419">
        <v>10593.18</v>
      </c>
    </row>
    <row r="21" spans="1:10" s="237" customFormat="1" ht="57">
      <c r="A21" s="416" t="s">
        <v>266</v>
      </c>
      <c r="B21" s="417" t="s">
        <v>1009</v>
      </c>
      <c r="C21" s="417" t="s">
        <v>1396</v>
      </c>
      <c r="D21" s="416" t="s">
        <v>1406</v>
      </c>
      <c r="E21" s="417" t="s">
        <v>1403</v>
      </c>
      <c r="F21" s="418">
        <v>1</v>
      </c>
      <c r="G21" s="419">
        <v>822.16</v>
      </c>
      <c r="H21" s="418">
        <v>31.26</v>
      </c>
      <c r="I21" s="419">
        <v>1079.17</v>
      </c>
      <c r="J21" s="419">
        <v>1079.17</v>
      </c>
    </row>
    <row r="22" spans="1:10" s="237" customFormat="1" ht="42.75">
      <c r="A22" s="416" t="s">
        <v>267</v>
      </c>
      <c r="B22" s="417" t="s">
        <v>1407</v>
      </c>
      <c r="C22" s="417" t="s">
        <v>1400</v>
      </c>
      <c r="D22" s="416" t="s">
        <v>1408</v>
      </c>
      <c r="E22" s="417" t="s">
        <v>1398</v>
      </c>
      <c r="F22" s="418">
        <v>20</v>
      </c>
      <c r="G22" s="419">
        <v>1162.92</v>
      </c>
      <c r="H22" s="418">
        <v>31.26</v>
      </c>
      <c r="I22" s="419">
        <v>1526.45</v>
      </c>
      <c r="J22" s="419">
        <v>30529</v>
      </c>
    </row>
    <row r="23" spans="1:10" s="237" customFormat="1" ht="42.75">
      <c r="A23" s="416" t="s">
        <v>268</v>
      </c>
      <c r="B23" s="417" t="s">
        <v>1409</v>
      </c>
      <c r="C23" s="417" t="s">
        <v>1400</v>
      </c>
      <c r="D23" s="416" t="s">
        <v>1410</v>
      </c>
      <c r="E23" s="417" t="s">
        <v>1398</v>
      </c>
      <c r="F23" s="418">
        <v>20</v>
      </c>
      <c r="G23" s="419">
        <v>1352.61</v>
      </c>
      <c r="H23" s="418">
        <v>31.26</v>
      </c>
      <c r="I23" s="419">
        <v>1775.44</v>
      </c>
      <c r="J23" s="419">
        <v>35508.800000000003</v>
      </c>
    </row>
    <row r="24" spans="1:10" s="237" customFormat="1" ht="42.75">
      <c r="A24" s="416" t="s">
        <v>269</v>
      </c>
      <c r="B24" s="417" t="s">
        <v>1411</v>
      </c>
      <c r="C24" s="417" t="s">
        <v>1400</v>
      </c>
      <c r="D24" s="416" t="s">
        <v>1412</v>
      </c>
      <c r="E24" s="417" t="s">
        <v>1398</v>
      </c>
      <c r="F24" s="418">
        <v>20</v>
      </c>
      <c r="G24" s="419">
        <v>1093.3499999999999</v>
      </c>
      <c r="H24" s="418">
        <v>31.26</v>
      </c>
      <c r="I24" s="419">
        <v>1435.13</v>
      </c>
      <c r="J24" s="419">
        <v>28702.6</v>
      </c>
    </row>
    <row r="25" spans="1:10" s="237" customFormat="1" ht="42.75">
      <c r="A25" s="416" t="s">
        <v>270</v>
      </c>
      <c r="B25" s="417" t="s">
        <v>1413</v>
      </c>
      <c r="C25" s="417" t="s">
        <v>1400</v>
      </c>
      <c r="D25" s="416" t="s">
        <v>1414</v>
      </c>
      <c r="E25" s="417" t="s">
        <v>1398</v>
      </c>
      <c r="F25" s="418">
        <v>18</v>
      </c>
      <c r="G25" s="419">
        <v>701.41</v>
      </c>
      <c r="H25" s="418">
        <v>31.26</v>
      </c>
      <c r="I25" s="419">
        <v>920.67</v>
      </c>
      <c r="J25" s="419">
        <v>16572.060000000001</v>
      </c>
    </row>
    <row r="26" spans="1:10" s="237" customFormat="1" ht="57">
      <c r="A26" s="416" t="s">
        <v>271</v>
      </c>
      <c r="B26" s="417" t="s">
        <v>2480</v>
      </c>
      <c r="C26" s="417" t="s">
        <v>1099</v>
      </c>
      <c r="D26" s="416" t="s">
        <v>1415</v>
      </c>
      <c r="E26" s="417" t="s">
        <v>1416</v>
      </c>
      <c r="F26" s="418">
        <v>72</v>
      </c>
      <c r="G26" s="419">
        <v>118.78</v>
      </c>
      <c r="H26" s="418">
        <v>31.26</v>
      </c>
      <c r="I26" s="419">
        <v>155.91</v>
      </c>
      <c r="J26" s="419">
        <v>11225.52</v>
      </c>
    </row>
    <row r="27" spans="1:10" s="237" customFormat="1" ht="42.75">
      <c r="A27" s="416" t="s">
        <v>389</v>
      </c>
      <c r="B27" s="417" t="s">
        <v>2481</v>
      </c>
      <c r="C27" s="417" t="s">
        <v>1099</v>
      </c>
      <c r="D27" s="416" t="s">
        <v>1417</v>
      </c>
      <c r="E27" s="417" t="s">
        <v>1403</v>
      </c>
      <c r="F27" s="418">
        <v>1</v>
      </c>
      <c r="G27" s="419">
        <v>7175.88</v>
      </c>
      <c r="H27" s="418">
        <v>31.26</v>
      </c>
      <c r="I27" s="419">
        <v>9419.06</v>
      </c>
      <c r="J27" s="419">
        <v>9419.06</v>
      </c>
    </row>
    <row r="28" spans="1:10" s="237" customFormat="1" ht="42.75">
      <c r="A28" s="416" t="s">
        <v>951</v>
      </c>
      <c r="B28" s="417" t="s">
        <v>1418</v>
      </c>
      <c r="C28" s="417" t="s">
        <v>1400</v>
      </c>
      <c r="D28" s="416" t="s">
        <v>1419</v>
      </c>
      <c r="E28" s="417" t="s">
        <v>1398</v>
      </c>
      <c r="F28" s="418">
        <v>2468.0300000000002</v>
      </c>
      <c r="G28" s="419">
        <v>0.48</v>
      </c>
      <c r="H28" s="418">
        <v>31.26</v>
      </c>
      <c r="I28" s="419">
        <v>0.63</v>
      </c>
      <c r="J28" s="419">
        <v>1554.86</v>
      </c>
    </row>
    <row r="29" spans="1:10" s="237" customFormat="1" ht="57">
      <c r="A29" s="416" t="s">
        <v>952</v>
      </c>
      <c r="B29" s="417" t="s">
        <v>1420</v>
      </c>
      <c r="C29" s="417" t="s">
        <v>1400</v>
      </c>
      <c r="D29" s="416" t="s">
        <v>1421</v>
      </c>
      <c r="E29" s="417" t="s">
        <v>1422</v>
      </c>
      <c r="F29" s="418">
        <v>641.69000000000005</v>
      </c>
      <c r="G29" s="419">
        <v>9.6199999999999992</v>
      </c>
      <c r="H29" s="418">
        <v>31.26</v>
      </c>
      <c r="I29" s="419">
        <v>12.63</v>
      </c>
      <c r="J29" s="419">
        <v>8104.54</v>
      </c>
    </row>
    <row r="30" spans="1:10" s="237" customFormat="1" ht="42.75">
      <c r="A30" s="416" t="s">
        <v>1070</v>
      </c>
      <c r="B30" s="417" t="s">
        <v>1423</v>
      </c>
      <c r="C30" s="417" t="s">
        <v>1400</v>
      </c>
      <c r="D30" s="416" t="s">
        <v>1424</v>
      </c>
      <c r="E30" s="417" t="s">
        <v>1425</v>
      </c>
      <c r="F30" s="418">
        <v>6416.88</v>
      </c>
      <c r="G30" s="419">
        <v>2.92</v>
      </c>
      <c r="H30" s="418">
        <v>31.26</v>
      </c>
      <c r="I30" s="419">
        <v>3.83</v>
      </c>
      <c r="J30" s="419">
        <v>24576.65</v>
      </c>
    </row>
    <row r="31" spans="1:10" s="237" customFormat="1" ht="28.5">
      <c r="A31" s="416" t="s">
        <v>1071</v>
      </c>
      <c r="B31" s="417" t="s">
        <v>1069</v>
      </c>
      <c r="C31" s="417" t="s">
        <v>1400</v>
      </c>
      <c r="D31" s="416" t="s">
        <v>1426</v>
      </c>
      <c r="E31" s="417" t="s">
        <v>1398</v>
      </c>
      <c r="F31" s="418">
        <v>2468.0300000000002</v>
      </c>
      <c r="G31" s="419">
        <v>2.82</v>
      </c>
      <c r="H31" s="418">
        <v>31.26</v>
      </c>
      <c r="I31" s="419">
        <v>3.7</v>
      </c>
      <c r="J31" s="419">
        <v>9131.7099999999991</v>
      </c>
    </row>
    <row r="32" spans="1:10" s="237" customFormat="1" ht="42.75">
      <c r="A32" s="416" t="s">
        <v>1072</v>
      </c>
      <c r="B32" s="417" t="s">
        <v>1010</v>
      </c>
      <c r="C32" s="417" t="s">
        <v>1396</v>
      </c>
      <c r="D32" s="416" t="s">
        <v>43</v>
      </c>
      <c r="E32" s="417" t="s">
        <v>1398</v>
      </c>
      <c r="F32" s="418">
        <v>970.41</v>
      </c>
      <c r="G32" s="419">
        <v>8.48</v>
      </c>
      <c r="H32" s="418">
        <v>31.26</v>
      </c>
      <c r="I32" s="419">
        <v>11.13</v>
      </c>
      <c r="J32" s="419">
        <v>10800.66</v>
      </c>
    </row>
    <row r="33" spans="1:10" s="237" customFormat="1" ht="14.25">
      <c r="A33" s="416" t="s">
        <v>1073</v>
      </c>
      <c r="B33" s="417" t="s">
        <v>1335</v>
      </c>
      <c r="C33" s="417" t="s">
        <v>1396</v>
      </c>
      <c r="D33" s="416" t="s">
        <v>1336</v>
      </c>
      <c r="E33" s="417" t="s">
        <v>1403</v>
      </c>
      <c r="F33" s="418">
        <v>1</v>
      </c>
      <c r="G33" s="419">
        <v>135984.07</v>
      </c>
      <c r="H33" s="418">
        <v>31.26</v>
      </c>
      <c r="I33" s="419">
        <v>178492.69</v>
      </c>
      <c r="J33" s="419">
        <v>178492.69</v>
      </c>
    </row>
    <row r="34" spans="1:10" s="237" customFormat="1" ht="15" customHeight="1">
      <c r="A34" s="241" t="s">
        <v>1427</v>
      </c>
      <c r="B34" s="242" t="s">
        <v>45</v>
      </c>
      <c r="C34" s="242"/>
      <c r="D34" s="242"/>
      <c r="E34" s="242"/>
      <c r="F34" s="242"/>
      <c r="G34" s="242"/>
      <c r="H34" s="242"/>
      <c r="I34" s="242"/>
      <c r="J34" s="243">
        <v>1224.31</v>
      </c>
    </row>
    <row r="35" spans="1:10" s="237" customFormat="1" ht="57">
      <c r="A35" s="416" t="s">
        <v>1268</v>
      </c>
      <c r="B35" s="417" t="s">
        <v>1428</v>
      </c>
      <c r="C35" s="417" t="s">
        <v>1400</v>
      </c>
      <c r="D35" s="416" t="s">
        <v>1429</v>
      </c>
      <c r="E35" s="417" t="s">
        <v>1398</v>
      </c>
      <c r="F35" s="418">
        <v>970.41</v>
      </c>
      <c r="G35" s="419">
        <v>0.79</v>
      </c>
      <c r="H35" s="418">
        <v>31.26</v>
      </c>
      <c r="I35" s="419">
        <v>1.04</v>
      </c>
      <c r="J35" s="419">
        <v>1009.23</v>
      </c>
    </row>
    <row r="36" spans="1:10" s="237" customFormat="1" ht="71.25">
      <c r="A36" s="416" t="s">
        <v>1269</v>
      </c>
      <c r="B36" s="417" t="s">
        <v>1430</v>
      </c>
      <c r="C36" s="417" t="s">
        <v>1400</v>
      </c>
      <c r="D36" s="416" t="s">
        <v>1431</v>
      </c>
      <c r="E36" s="417" t="s">
        <v>1422</v>
      </c>
      <c r="F36" s="418">
        <v>3.45</v>
      </c>
      <c r="G36" s="419">
        <v>15.71</v>
      </c>
      <c r="H36" s="418">
        <v>31.26</v>
      </c>
      <c r="I36" s="419">
        <v>20.62</v>
      </c>
      <c r="J36" s="419">
        <v>71.14</v>
      </c>
    </row>
    <row r="37" spans="1:10" s="237" customFormat="1" ht="28.5">
      <c r="A37" s="416" t="s">
        <v>1270</v>
      </c>
      <c r="B37" s="417" t="s">
        <v>1432</v>
      </c>
      <c r="C37" s="417" t="s">
        <v>1400</v>
      </c>
      <c r="D37" s="416" t="s">
        <v>1433</v>
      </c>
      <c r="E37" s="417" t="s">
        <v>1398</v>
      </c>
      <c r="F37" s="418">
        <v>9.44</v>
      </c>
      <c r="G37" s="419">
        <v>7.32</v>
      </c>
      <c r="H37" s="418">
        <v>31.26</v>
      </c>
      <c r="I37" s="419">
        <v>9.61</v>
      </c>
      <c r="J37" s="419">
        <v>90.72</v>
      </c>
    </row>
    <row r="38" spans="1:10" s="237" customFormat="1" ht="28.5">
      <c r="A38" s="416" t="s">
        <v>1271</v>
      </c>
      <c r="B38" s="417" t="s">
        <v>1434</v>
      </c>
      <c r="C38" s="417" t="s">
        <v>1400</v>
      </c>
      <c r="D38" s="416" t="s">
        <v>1435</v>
      </c>
      <c r="E38" s="417" t="s">
        <v>1422</v>
      </c>
      <c r="F38" s="418">
        <v>1.37</v>
      </c>
      <c r="G38" s="419">
        <v>29.6</v>
      </c>
      <c r="H38" s="418">
        <v>31.26</v>
      </c>
      <c r="I38" s="419">
        <v>38.85</v>
      </c>
      <c r="J38" s="419">
        <v>53.22</v>
      </c>
    </row>
    <row r="39" spans="1:10" s="237" customFormat="1" ht="15" customHeight="1">
      <c r="A39" s="241" t="s">
        <v>1436</v>
      </c>
      <c r="B39" s="242" t="s">
        <v>1437</v>
      </c>
      <c r="C39" s="242"/>
      <c r="D39" s="242"/>
      <c r="E39" s="242"/>
      <c r="F39" s="242"/>
      <c r="G39" s="242"/>
      <c r="H39" s="242"/>
      <c r="I39" s="242"/>
      <c r="J39" s="243">
        <v>296703.32</v>
      </c>
    </row>
    <row r="40" spans="1:10" s="237" customFormat="1" ht="15.75">
      <c r="A40" s="241" t="s">
        <v>314</v>
      </c>
      <c r="B40" s="242" t="s">
        <v>46</v>
      </c>
      <c r="C40" s="242"/>
      <c r="D40" s="242"/>
      <c r="E40" s="242"/>
      <c r="F40" s="242"/>
      <c r="G40" s="242"/>
      <c r="H40" s="242"/>
      <c r="I40" s="242"/>
      <c r="J40" s="243">
        <v>291961.24</v>
      </c>
    </row>
    <row r="41" spans="1:10" s="237" customFormat="1" ht="42.75">
      <c r="A41" s="416" t="s">
        <v>315</v>
      </c>
      <c r="B41" s="417" t="s">
        <v>1438</v>
      </c>
      <c r="C41" s="417" t="s">
        <v>1400</v>
      </c>
      <c r="D41" s="416" t="s">
        <v>1439</v>
      </c>
      <c r="E41" s="417" t="s">
        <v>1398</v>
      </c>
      <c r="F41" s="418">
        <v>25.9</v>
      </c>
      <c r="G41" s="419">
        <v>157.65</v>
      </c>
      <c r="H41" s="418">
        <v>31.26</v>
      </c>
      <c r="I41" s="419">
        <v>206.93</v>
      </c>
      <c r="J41" s="419">
        <v>5359.49</v>
      </c>
    </row>
    <row r="42" spans="1:10" s="237" customFormat="1" ht="42.75">
      <c r="A42" s="416" t="s">
        <v>316</v>
      </c>
      <c r="B42" s="417" t="s">
        <v>1440</v>
      </c>
      <c r="C42" s="417" t="s">
        <v>1400</v>
      </c>
      <c r="D42" s="416" t="s">
        <v>1441</v>
      </c>
      <c r="E42" s="417" t="s">
        <v>1422</v>
      </c>
      <c r="F42" s="418">
        <v>119.69</v>
      </c>
      <c r="G42" s="419">
        <v>546.77</v>
      </c>
      <c r="H42" s="418">
        <v>31.26</v>
      </c>
      <c r="I42" s="419">
        <v>717.69</v>
      </c>
      <c r="J42" s="419">
        <v>85900.32</v>
      </c>
    </row>
    <row r="43" spans="1:10" s="237" customFormat="1" ht="42.75">
      <c r="A43" s="416" t="s">
        <v>318</v>
      </c>
      <c r="B43" s="417" t="s">
        <v>1442</v>
      </c>
      <c r="C43" s="417" t="s">
        <v>1400</v>
      </c>
      <c r="D43" s="416" t="s">
        <v>1443</v>
      </c>
      <c r="E43" s="417" t="s">
        <v>1422</v>
      </c>
      <c r="F43" s="418">
        <v>96.2</v>
      </c>
      <c r="G43" s="419">
        <v>153.22999999999999</v>
      </c>
      <c r="H43" s="418">
        <v>31.26</v>
      </c>
      <c r="I43" s="419">
        <v>201.13</v>
      </c>
      <c r="J43" s="419">
        <v>19348.71</v>
      </c>
    </row>
    <row r="44" spans="1:10" s="237" customFormat="1" ht="28.5">
      <c r="A44" s="416" t="s">
        <v>308</v>
      </c>
      <c r="B44" s="417" t="s">
        <v>1444</v>
      </c>
      <c r="C44" s="417" t="s">
        <v>1400</v>
      </c>
      <c r="D44" s="416" t="s">
        <v>1445</v>
      </c>
      <c r="E44" s="417" t="s">
        <v>1398</v>
      </c>
      <c r="F44" s="418">
        <v>9</v>
      </c>
      <c r="G44" s="419">
        <v>30.96</v>
      </c>
      <c r="H44" s="418">
        <v>31.26</v>
      </c>
      <c r="I44" s="419">
        <v>40.64</v>
      </c>
      <c r="J44" s="419">
        <v>365.76</v>
      </c>
    </row>
    <row r="45" spans="1:10" s="237" customFormat="1" ht="57">
      <c r="A45" s="416" t="s">
        <v>320</v>
      </c>
      <c r="B45" s="417" t="s">
        <v>1446</v>
      </c>
      <c r="C45" s="417" t="s">
        <v>1400</v>
      </c>
      <c r="D45" s="416" t="s">
        <v>1447</v>
      </c>
      <c r="E45" s="417" t="s">
        <v>1416</v>
      </c>
      <c r="F45" s="418">
        <v>7.8</v>
      </c>
      <c r="G45" s="419">
        <v>61.83</v>
      </c>
      <c r="H45" s="418">
        <v>31.26</v>
      </c>
      <c r="I45" s="419">
        <v>81.16</v>
      </c>
      <c r="J45" s="419">
        <v>633.04999999999995</v>
      </c>
    </row>
    <row r="46" spans="1:10" s="237" customFormat="1" ht="57">
      <c r="A46" s="416" t="s">
        <v>329</v>
      </c>
      <c r="B46" s="417" t="s">
        <v>1448</v>
      </c>
      <c r="C46" s="417" t="s">
        <v>1400</v>
      </c>
      <c r="D46" s="416" t="s">
        <v>1449</v>
      </c>
      <c r="E46" s="417" t="s">
        <v>1416</v>
      </c>
      <c r="F46" s="418">
        <v>27</v>
      </c>
      <c r="G46" s="419">
        <v>115.94</v>
      </c>
      <c r="H46" s="418">
        <v>31.26</v>
      </c>
      <c r="I46" s="419">
        <v>152.18</v>
      </c>
      <c r="J46" s="419">
        <v>4108.8599999999997</v>
      </c>
    </row>
    <row r="47" spans="1:10" s="237" customFormat="1" ht="28.5">
      <c r="A47" s="416" t="s">
        <v>1328</v>
      </c>
      <c r="B47" s="417" t="s">
        <v>1450</v>
      </c>
      <c r="C47" s="417" t="s">
        <v>1400</v>
      </c>
      <c r="D47" s="416" t="s">
        <v>1451</v>
      </c>
      <c r="E47" s="417" t="s">
        <v>1452</v>
      </c>
      <c r="F47" s="418">
        <v>8800.52</v>
      </c>
      <c r="G47" s="419">
        <v>13.88</v>
      </c>
      <c r="H47" s="418">
        <v>31.26</v>
      </c>
      <c r="I47" s="419">
        <v>18.22</v>
      </c>
      <c r="J47" s="419">
        <v>160345.47</v>
      </c>
    </row>
    <row r="48" spans="1:10" s="237" customFormat="1" ht="42.75">
      <c r="A48" s="416" t="s">
        <v>1329</v>
      </c>
      <c r="B48" s="417" t="s">
        <v>1453</v>
      </c>
      <c r="C48" s="417" t="s">
        <v>1400</v>
      </c>
      <c r="D48" s="416" t="s">
        <v>1454</v>
      </c>
      <c r="E48" s="417" t="s">
        <v>1452</v>
      </c>
      <c r="F48" s="418">
        <v>31.01</v>
      </c>
      <c r="G48" s="419">
        <v>15.18</v>
      </c>
      <c r="H48" s="418">
        <v>31.26</v>
      </c>
      <c r="I48" s="419">
        <v>19.93</v>
      </c>
      <c r="J48" s="419">
        <v>618.03</v>
      </c>
    </row>
    <row r="49" spans="1:10" s="237" customFormat="1" ht="42.75">
      <c r="A49" s="416" t="s">
        <v>1330</v>
      </c>
      <c r="B49" s="417" t="s">
        <v>1455</v>
      </c>
      <c r="C49" s="417" t="s">
        <v>1400</v>
      </c>
      <c r="D49" s="416" t="s">
        <v>1456</v>
      </c>
      <c r="E49" s="417" t="s">
        <v>1452</v>
      </c>
      <c r="F49" s="418">
        <v>7.75</v>
      </c>
      <c r="G49" s="419">
        <v>14.25</v>
      </c>
      <c r="H49" s="418">
        <v>31.26</v>
      </c>
      <c r="I49" s="419">
        <v>18.7</v>
      </c>
      <c r="J49" s="419">
        <v>144.93</v>
      </c>
    </row>
    <row r="50" spans="1:10" s="237" customFormat="1" ht="42.75">
      <c r="A50" s="416" t="s">
        <v>330</v>
      </c>
      <c r="B50" s="417" t="s">
        <v>1457</v>
      </c>
      <c r="C50" s="417" t="s">
        <v>1400</v>
      </c>
      <c r="D50" s="416" t="s">
        <v>1458</v>
      </c>
      <c r="E50" s="417" t="s">
        <v>1452</v>
      </c>
      <c r="F50" s="418">
        <v>113.95</v>
      </c>
      <c r="G50" s="419">
        <v>11.89</v>
      </c>
      <c r="H50" s="418">
        <v>31.26</v>
      </c>
      <c r="I50" s="419">
        <v>15.61</v>
      </c>
      <c r="J50" s="419">
        <v>1778.76</v>
      </c>
    </row>
    <row r="51" spans="1:10" s="237" customFormat="1" ht="42.75">
      <c r="A51" s="416" t="s">
        <v>331</v>
      </c>
      <c r="B51" s="417" t="s">
        <v>1459</v>
      </c>
      <c r="C51" s="417" t="s">
        <v>1400</v>
      </c>
      <c r="D51" s="416" t="s">
        <v>1460</v>
      </c>
      <c r="E51" s="417" t="s">
        <v>1452</v>
      </c>
      <c r="F51" s="418">
        <v>295.20999999999998</v>
      </c>
      <c r="G51" s="419">
        <v>9.98</v>
      </c>
      <c r="H51" s="418">
        <v>31.26</v>
      </c>
      <c r="I51" s="419">
        <v>13.1</v>
      </c>
      <c r="J51" s="419">
        <v>3867.25</v>
      </c>
    </row>
    <row r="52" spans="1:10" s="237" customFormat="1" ht="28.5">
      <c r="A52" s="416" t="s">
        <v>332</v>
      </c>
      <c r="B52" s="417" t="s">
        <v>1011</v>
      </c>
      <c r="C52" s="417" t="s">
        <v>1396</v>
      </c>
      <c r="D52" s="416" t="s">
        <v>1461</v>
      </c>
      <c r="E52" s="417" t="s">
        <v>1462</v>
      </c>
      <c r="F52" s="418">
        <v>970.41</v>
      </c>
      <c r="G52" s="419">
        <v>7.45</v>
      </c>
      <c r="H52" s="418">
        <v>31.26</v>
      </c>
      <c r="I52" s="419">
        <v>9.7799999999999994</v>
      </c>
      <c r="J52" s="419">
        <v>9490.61</v>
      </c>
    </row>
    <row r="53" spans="1:10" s="237" customFormat="1" ht="15" customHeight="1">
      <c r="A53" s="241" t="s">
        <v>335</v>
      </c>
      <c r="B53" s="242" t="s">
        <v>333</v>
      </c>
      <c r="C53" s="242"/>
      <c r="D53" s="242"/>
      <c r="E53" s="242"/>
      <c r="F53" s="242"/>
      <c r="G53" s="242"/>
      <c r="H53" s="242"/>
      <c r="I53" s="242"/>
      <c r="J53" s="243">
        <v>4742.08</v>
      </c>
    </row>
    <row r="54" spans="1:10" s="237" customFormat="1" ht="42.75">
      <c r="A54" s="416" t="s">
        <v>336</v>
      </c>
      <c r="B54" s="417" t="s">
        <v>1463</v>
      </c>
      <c r="C54" s="417" t="s">
        <v>1400</v>
      </c>
      <c r="D54" s="416" t="s">
        <v>1464</v>
      </c>
      <c r="E54" s="417" t="s">
        <v>1422</v>
      </c>
      <c r="F54" s="418">
        <v>1.79</v>
      </c>
      <c r="G54" s="419">
        <v>602.12</v>
      </c>
      <c r="H54" s="418">
        <v>31.26</v>
      </c>
      <c r="I54" s="419">
        <v>790.34</v>
      </c>
      <c r="J54" s="419">
        <v>1414.71</v>
      </c>
    </row>
    <row r="55" spans="1:10" s="237" customFormat="1" ht="42.75">
      <c r="A55" s="416" t="s">
        <v>337</v>
      </c>
      <c r="B55" s="417" t="s">
        <v>1465</v>
      </c>
      <c r="C55" s="417" t="s">
        <v>1400</v>
      </c>
      <c r="D55" s="416" t="s">
        <v>1466</v>
      </c>
      <c r="E55" s="417" t="s">
        <v>1398</v>
      </c>
      <c r="F55" s="418">
        <v>10.24</v>
      </c>
      <c r="G55" s="419">
        <v>187.87</v>
      </c>
      <c r="H55" s="418">
        <v>31.26</v>
      </c>
      <c r="I55" s="419">
        <v>246.6</v>
      </c>
      <c r="J55" s="419">
        <v>2525.1799999999998</v>
      </c>
    </row>
    <row r="56" spans="1:10" s="237" customFormat="1" ht="28.5">
      <c r="A56" s="416" t="s">
        <v>338</v>
      </c>
      <c r="B56" s="417" t="s">
        <v>1467</v>
      </c>
      <c r="C56" s="417" t="s">
        <v>1400</v>
      </c>
      <c r="D56" s="416" t="s">
        <v>1468</v>
      </c>
      <c r="E56" s="417" t="s">
        <v>1452</v>
      </c>
      <c r="F56" s="418">
        <v>29.22</v>
      </c>
      <c r="G56" s="419">
        <v>14.51</v>
      </c>
      <c r="H56" s="418">
        <v>31.26</v>
      </c>
      <c r="I56" s="419">
        <v>19.05</v>
      </c>
      <c r="J56" s="419">
        <v>556.64</v>
      </c>
    </row>
    <row r="57" spans="1:10" s="237" customFormat="1" ht="28.5">
      <c r="A57" s="416" t="s">
        <v>920</v>
      </c>
      <c r="B57" s="417" t="s">
        <v>1469</v>
      </c>
      <c r="C57" s="417" t="s">
        <v>1400</v>
      </c>
      <c r="D57" s="416" t="s">
        <v>1470</v>
      </c>
      <c r="E57" s="417" t="s">
        <v>1398</v>
      </c>
      <c r="F57" s="418">
        <v>5.76</v>
      </c>
      <c r="G57" s="419">
        <v>32.479999999999997</v>
      </c>
      <c r="H57" s="418">
        <v>31.26</v>
      </c>
      <c r="I57" s="419">
        <v>42.63</v>
      </c>
      <c r="J57" s="419">
        <v>245.55</v>
      </c>
    </row>
    <row r="58" spans="1:10" s="237" customFormat="1" ht="15" customHeight="1">
      <c r="A58" s="241" t="s">
        <v>1471</v>
      </c>
      <c r="B58" s="242" t="s">
        <v>922</v>
      </c>
      <c r="C58" s="242"/>
      <c r="D58" s="242"/>
      <c r="E58" s="242"/>
      <c r="F58" s="242"/>
      <c r="G58" s="242"/>
      <c r="H58" s="242"/>
      <c r="I58" s="242"/>
      <c r="J58" s="243">
        <v>3202.77</v>
      </c>
    </row>
    <row r="59" spans="1:10" s="237" customFormat="1" ht="42.75">
      <c r="A59" s="416" t="s">
        <v>340</v>
      </c>
      <c r="B59" s="417" t="s">
        <v>1472</v>
      </c>
      <c r="C59" s="417" t="s">
        <v>1400</v>
      </c>
      <c r="D59" s="416" t="s">
        <v>1473</v>
      </c>
      <c r="E59" s="417" t="s">
        <v>1398</v>
      </c>
      <c r="F59" s="418">
        <v>970.41</v>
      </c>
      <c r="G59" s="419">
        <v>2.06</v>
      </c>
      <c r="H59" s="418">
        <v>31.26</v>
      </c>
      <c r="I59" s="419">
        <v>2.7</v>
      </c>
      <c r="J59" s="419">
        <v>2620.11</v>
      </c>
    </row>
    <row r="60" spans="1:10" s="237" customFormat="1" ht="28.5">
      <c r="A60" s="416" t="s">
        <v>341</v>
      </c>
      <c r="B60" s="417" t="s">
        <v>1474</v>
      </c>
      <c r="C60" s="417" t="s">
        <v>1400</v>
      </c>
      <c r="D60" s="416" t="s">
        <v>1475</v>
      </c>
      <c r="E60" s="417" t="s">
        <v>1398</v>
      </c>
      <c r="F60" s="418">
        <v>10.24</v>
      </c>
      <c r="G60" s="419">
        <v>43.35</v>
      </c>
      <c r="H60" s="418">
        <v>31.26</v>
      </c>
      <c r="I60" s="419">
        <v>56.9</v>
      </c>
      <c r="J60" s="419">
        <v>582.66</v>
      </c>
    </row>
    <row r="61" spans="1:10" s="237" customFormat="1" ht="15" customHeight="1">
      <c r="A61" s="241" t="s">
        <v>1476</v>
      </c>
      <c r="B61" s="242" t="s">
        <v>351</v>
      </c>
      <c r="C61" s="242"/>
      <c r="D61" s="242"/>
      <c r="E61" s="242"/>
      <c r="F61" s="242"/>
      <c r="G61" s="242"/>
      <c r="H61" s="242"/>
      <c r="I61" s="242"/>
      <c r="J61" s="243">
        <v>1121786.8700000001</v>
      </c>
    </row>
    <row r="62" spans="1:10" s="237" customFormat="1" ht="57">
      <c r="A62" s="416" t="s">
        <v>343</v>
      </c>
      <c r="B62" s="417" t="s">
        <v>227</v>
      </c>
      <c r="C62" s="417" t="s">
        <v>1396</v>
      </c>
      <c r="D62" s="416" t="s">
        <v>1477</v>
      </c>
      <c r="E62" s="417" t="s">
        <v>1462</v>
      </c>
      <c r="F62" s="418">
        <v>1276.9000000000001</v>
      </c>
      <c r="G62" s="419">
        <v>528.76</v>
      </c>
      <c r="H62" s="418">
        <v>16.8</v>
      </c>
      <c r="I62" s="419">
        <v>617.59</v>
      </c>
      <c r="J62" s="419">
        <v>788600.67</v>
      </c>
    </row>
    <row r="63" spans="1:10" s="237" customFormat="1" ht="28.5">
      <c r="A63" s="416" t="s">
        <v>114</v>
      </c>
      <c r="B63" s="417" t="s">
        <v>119</v>
      </c>
      <c r="C63" s="417" t="s">
        <v>1396</v>
      </c>
      <c r="D63" s="416" t="s">
        <v>1478</v>
      </c>
      <c r="E63" s="417" t="s">
        <v>1462</v>
      </c>
      <c r="F63" s="418">
        <v>1276.9000000000001</v>
      </c>
      <c r="G63" s="419">
        <v>117.17</v>
      </c>
      <c r="H63" s="418">
        <v>31.26</v>
      </c>
      <c r="I63" s="419">
        <v>153.80000000000001</v>
      </c>
      <c r="J63" s="419">
        <v>196387.22</v>
      </c>
    </row>
    <row r="64" spans="1:10" s="237" customFormat="1" ht="42.75">
      <c r="A64" s="416" t="s">
        <v>344</v>
      </c>
      <c r="B64" s="417" t="s">
        <v>1479</v>
      </c>
      <c r="C64" s="417" t="s">
        <v>1400</v>
      </c>
      <c r="D64" s="416" t="s">
        <v>1480</v>
      </c>
      <c r="E64" s="417" t="s">
        <v>1422</v>
      </c>
      <c r="F64" s="418">
        <v>102.15</v>
      </c>
      <c r="G64" s="419">
        <v>453.81</v>
      </c>
      <c r="H64" s="418">
        <v>31.26</v>
      </c>
      <c r="I64" s="419">
        <v>595.66999999999996</v>
      </c>
      <c r="J64" s="419">
        <v>60847.69</v>
      </c>
    </row>
    <row r="65" spans="1:10" s="237" customFormat="1" ht="28.5">
      <c r="A65" s="416" t="s">
        <v>345</v>
      </c>
      <c r="B65" s="417" t="s">
        <v>1481</v>
      </c>
      <c r="C65" s="417" t="s">
        <v>1400</v>
      </c>
      <c r="D65" s="416" t="s">
        <v>917</v>
      </c>
      <c r="E65" s="417" t="s">
        <v>1452</v>
      </c>
      <c r="F65" s="418">
        <v>304.93</v>
      </c>
      <c r="G65" s="419">
        <v>17</v>
      </c>
      <c r="H65" s="418">
        <v>31.26</v>
      </c>
      <c r="I65" s="419">
        <v>22.31</v>
      </c>
      <c r="J65" s="419">
        <v>6802.99</v>
      </c>
    </row>
    <row r="66" spans="1:10" s="237" customFormat="1" ht="42.75">
      <c r="A66" s="416" t="s">
        <v>346</v>
      </c>
      <c r="B66" s="417" t="s">
        <v>1482</v>
      </c>
      <c r="C66" s="417" t="s">
        <v>1400</v>
      </c>
      <c r="D66" s="416" t="s">
        <v>1483</v>
      </c>
      <c r="E66" s="417" t="s">
        <v>1422</v>
      </c>
      <c r="F66" s="418">
        <v>0.51</v>
      </c>
      <c r="G66" s="419">
        <v>468.01</v>
      </c>
      <c r="H66" s="418">
        <v>31.26</v>
      </c>
      <c r="I66" s="419">
        <v>614.30999999999995</v>
      </c>
      <c r="J66" s="419">
        <v>313.3</v>
      </c>
    </row>
    <row r="67" spans="1:10" s="237" customFormat="1" ht="28.5">
      <c r="A67" s="416" t="s">
        <v>347</v>
      </c>
      <c r="B67" s="417" t="s">
        <v>1484</v>
      </c>
      <c r="C67" s="417" t="s">
        <v>1400</v>
      </c>
      <c r="D67" s="416" t="s">
        <v>1485</v>
      </c>
      <c r="E67" s="417" t="s">
        <v>1422</v>
      </c>
      <c r="F67" s="418">
        <v>102.66</v>
      </c>
      <c r="G67" s="419">
        <v>341.76</v>
      </c>
      <c r="H67" s="418">
        <v>31.26</v>
      </c>
      <c r="I67" s="419">
        <v>448.59</v>
      </c>
      <c r="J67" s="419">
        <v>46052.25</v>
      </c>
    </row>
    <row r="68" spans="1:10" s="237" customFormat="1" ht="42.75">
      <c r="A68" s="416" t="s">
        <v>348</v>
      </c>
      <c r="B68" s="417" t="s">
        <v>1486</v>
      </c>
      <c r="C68" s="417" t="s">
        <v>1400</v>
      </c>
      <c r="D68" s="416" t="s">
        <v>1487</v>
      </c>
      <c r="E68" s="417" t="s">
        <v>1452</v>
      </c>
      <c r="F68" s="418">
        <v>1340.75</v>
      </c>
      <c r="G68" s="419">
        <v>11.89</v>
      </c>
      <c r="H68" s="418">
        <v>31.26</v>
      </c>
      <c r="I68" s="419">
        <v>15.61</v>
      </c>
      <c r="J68" s="419">
        <v>20929.11</v>
      </c>
    </row>
    <row r="69" spans="1:10" s="237" customFormat="1" ht="28.5">
      <c r="A69" s="416" t="s">
        <v>349</v>
      </c>
      <c r="B69" s="417" t="s">
        <v>1488</v>
      </c>
      <c r="C69" s="417" t="s">
        <v>1400</v>
      </c>
      <c r="D69" s="416" t="s">
        <v>1489</v>
      </c>
      <c r="E69" s="417" t="s">
        <v>1398</v>
      </c>
      <c r="F69" s="418">
        <v>6.2</v>
      </c>
      <c r="G69" s="419">
        <v>57.63</v>
      </c>
      <c r="H69" s="418">
        <v>31.26</v>
      </c>
      <c r="I69" s="419">
        <v>75.650000000000006</v>
      </c>
      <c r="J69" s="419">
        <v>469.03</v>
      </c>
    </row>
    <row r="70" spans="1:10" s="237" customFormat="1" ht="42.75">
      <c r="A70" s="416" t="s">
        <v>352</v>
      </c>
      <c r="B70" s="417" t="s">
        <v>1490</v>
      </c>
      <c r="C70" s="417" t="s">
        <v>1400</v>
      </c>
      <c r="D70" s="416" t="s">
        <v>1491</v>
      </c>
      <c r="E70" s="417" t="s">
        <v>1398</v>
      </c>
      <c r="F70" s="418">
        <v>5.15</v>
      </c>
      <c r="G70" s="419">
        <v>119.84</v>
      </c>
      <c r="H70" s="418">
        <v>31.26</v>
      </c>
      <c r="I70" s="419">
        <v>157.30000000000001</v>
      </c>
      <c r="J70" s="419">
        <v>810.1</v>
      </c>
    </row>
    <row r="71" spans="1:10" s="237" customFormat="1" ht="28.5">
      <c r="A71" s="416" t="s">
        <v>353</v>
      </c>
      <c r="B71" s="417" t="s">
        <v>1492</v>
      </c>
      <c r="C71" s="417" t="s">
        <v>1400</v>
      </c>
      <c r="D71" s="416" t="s">
        <v>1493</v>
      </c>
      <c r="E71" s="417" t="s">
        <v>1398</v>
      </c>
      <c r="F71" s="418">
        <v>5.15</v>
      </c>
      <c r="G71" s="419">
        <v>45.25</v>
      </c>
      <c r="H71" s="418">
        <v>31.26</v>
      </c>
      <c r="I71" s="419">
        <v>59.4</v>
      </c>
      <c r="J71" s="419">
        <v>305.91000000000003</v>
      </c>
    </row>
    <row r="72" spans="1:10" s="237" customFormat="1" ht="42.75">
      <c r="A72" s="416" t="s">
        <v>915</v>
      </c>
      <c r="B72" s="417" t="s">
        <v>1494</v>
      </c>
      <c r="C72" s="417" t="s">
        <v>1400</v>
      </c>
      <c r="D72" s="416" t="s">
        <v>1495</v>
      </c>
      <c r="E72" s="417" t="s">
        <v>1422</v>
      </c>
      <c r="F72" s="418">
        <v>10.55</v>
      </c>
      <c r="G72" s="419">
        <v>19.399999999999999</v>
      </c>
      <c r="H72" s="418">
        <v>31.26</v>
      </c>
      <c r="I72" s="419">
        <v>25.46</v>
      </c>
      <c r="J72" s="419">
        <v>268.60000000000002</v>
      </c>
    </row>
    <row r="73" spans="1:10" s="237" customFormat="1" ht="15" customHeight="1">
      <c r="A73" s="241" t="s">
        <v>1496</v>
      </c>
      <c r="B73" s="242" t="s">
        <v>47</v>
      </c>
      <c r="C73" s="242"/>
      <c r="D73" s="242"/>
      <c r="E73" s="242"/>
      <c r="F73" s="242"/>
      <c r="G73" s="242"/>
      <c r="H73" s="242"/>
      <c r="I73" s="242"/>
      <c r="J73" s="243">
        <v>51770.69</v>
      </c>
    </row>
    <row r="74" spans="1:10" s="237" customFormat="1" ht="57">
      <c r="A74" s="416" t="s">
        <v>394</v>
      </c>
      <c r="B74" s="417" t="s">
        <v>1497</v>
      </c>
      <c r="C74" s="417" t="s">
        <v>1400</v>
      </c>
      <c r="D74" s="416" t="s">
        <v>1498</v>
      </c>
      <c r="E74" s="417" t="s">
        <v>1398</v>
      </c>
      <c r="F74" s="418">
        <v>11.7</v>
      </c>
      <c r="G74" s="419">
        <v>57.92</v>
      </c>
      <c r="H74" s="418">
        <v>31.26</v>
      </c>
      <c r="I74" s="419">
        <v>76.03</v>
      </c>
      <c r="J74" s="419">
        <v>889.55</v>
      </c>
    </row>
    <row r="75" spans="1:10" s="237" customFormat="1" ht="42.75">
      <c r="A75" s="416" t="s">
        <v>395</v>
      </c>
      <c r="B75" s="417" t="s">
        <v>1499</v>
      </c>
      <c r="C75" s="417" t="s">
        <v>1400</v>
      </c>
      <c r="D75" s="416" t="s">
        <v>1500</v>
      </c>
      <c r="E75" s="417" t="s">
        <v>1398</v>
      </c>
      <c r="F75" s="418">
        <v>16.850000000000001</v>
      </c>
      <c r="G75" s="419">
        <v>909.64</v>
      </c>
      <c r="H75" s="418">
        <v>31.26</v>
      </c>
      <c r="I75" s="419">
        <v>1193.99</v>
      </c>
      <c r="J75" s="419">
        <v>20118.73</v>
      </c>
    </row>
    <row r="76" spans="1:10" s="237" customFormat="1" ht="42.75">
      <c r="A76" s="416" t="s">
        <v>467</v>
      </c>
      <c r="B76" s="417" t="s">
        <v>1501</v>
      </c>
      <c r="C76" s="417" t="s">
        <v>1400</v>
      </c>
      <c r="D76" s="416" t="s">
        <v>1502</v>
      </c>
      <c r="E76" s="417" t="s">
        <v>1398</v>
      </c>
      <c r="F76" s="418">
        <v>108.09</v>
      </c>
      <c r="G76" s="419">
        <v>216.82</v>
      </c>
      <c r="H76" s="418">
        <v>31.26</v>
      </c>
      <c r="I76" s="419">
        <v>284.60000000000002</v>
      </c>
      <c r="J76" s="419">
        <v>30762.41</v>
      </c>
    </row>
    <row r="77" spans="1:10" s="237" customFormat="1" ht="15" customHeight="1">
      <c r="A77" s="241" t="s">
        <v>1503</v>
      </c>
      <c r="B77" s="242" t="s">
        <v>48</v>
      </c>
      <c r="C77" s="242"/>
      <c r="D77" s="242"/>
      <c r="E77" s="242"/>
      <c r="F77" s="242"/>
      <c r="G77" s="242"/>
      <c r="H77" s="242"/>
      <c r="I77" s="242"/>
      <c r="J77" s="243">
        <v>7314.01</v>
      </c>
    </row>
    <row r="78" spans="1:10" s="237" customFormat="1" ht="57">
      <c r="A78" s="416" t="s">
        <v>396</v>
      </c>
      <c r="B78" s="417" t="s">
        <v>1504</v>
      </c>
      <c r="C78" s="417" t="s">
        <v>1400</v>
      </c>
      <c r="D78" s="416" t="s">
        <v>1505</v>
      </c>
      <c r="E78" s="417" t="s">
        <v>1398</v>
      </c>
      <c r="F78" s="418">
        <v>2.0699999999999998</v>
      </c>
      <c r="G78" s="419">
        <v>4.58</v>
      </c>
      <c r="H78" s="418">
        <v>31.26</v>
      </c>
      <c r="I78" s="419">
        <v>6.01</v>
      </c>
      <c r="J78" s="419">
        <v>12.44</v>
      </c>
    </row>
    <row r="79" spans="1:10" s="237" customFormat="1" ht="57">
      <c r="A79" s="416" t="s">
        <v>397</v>
      </c>
      <c r="B79" s="417" t="s">
        <v>1506</v>
      </c>
      <c r="C79" s="417" t="s">
        <v>1400</v>
      </c>
      <c r="D79" s="416" t="s">
        <v>1507</v>
      </c>
      <c r="E79" s="417" t="s">
        <v>1398</v>
      </c>
      <c r="F79" s="418">
        <v>2.0699999999999998</v>
      </c>
      <c r="G79" s="419">
        <v>46.47</v>
      </c>
      <c r="H79" s="418">
        <v>31.26</v>
      </c>
      <c r="I79" s="419">
        <v>61</v>
      </c>
      <c r="J79" s="419">
        <v>126.27</v>
      </c>
    </row>
    <row r="80" spans="1:10" s="237" customFormat="1" ht="28.5">
      <c r="A80" s="416" t="s">
        <v>901</v>
      </c>
      <c r="B80" s="417" t="s">
        <v>1508</v>
      </c>
      <c r="C80" s="417" t="s">
        <v>1400</v>
      </c>
      <c r="D80" s="416" t="s">
        <v>1509</v>
      </c>
      <c r="E80" s="417" t="s">
        <v>1416</v>
      </c>
      <c r="F80" s="418">
        <v>132.19999999999999</v>
      </c>
      <c r="G80" s="419">
        <v>40.08</v>
      </c>
      <c r="H80" s="418">
        <v>31.26</v>
      </c>
      <c r="I80" s="419">
        <v>52.61</v>
      </c>
      <c r="J80" s="419">
        <v>6955.04</v>
      </c>
    </row>
    <row r="81" spans="1:10" s="237" customFormat="1" ht="28.5">
      <c r="A81" s="416" t="s">
        <v>450</v>
      </c>
      <c r="B81" s="417" t="s">
        <v>1510</v>
      </c>
      <c r="C81" s="417" t="s">
        <v>1511</v>
      </c>
      <c r="D81" s="416" t="s">
        <v>1512</v>
      </c>
      <c r="E81" s="417" t="s">
        <v>1398</v>
      </c>
      <c r="F81" s="418">
        <v>1.28</v>
      </c>
      <c r="G81" s="419">
        <v>4.9000000000000004</v>
      </c>
      <c r="H81" s="418">
        <v>31.26</v>
      </c>
      <c r="I81" s="419">
        <v>6.43</v>
      </c>
      <c r="J81" s="419">
        <v>8.23</v>
      </c>
    </row>
    <row r="82" spans="1:10" s="237" customFormat="1" ht="28.5">
      <c r="A82" s="416" t="s">
        <v>485</v>
      </c>
      <c r="B82" s="417" t="s">
        <v>1513</v>
      </c>
      <c r="C82" s="417" t="s">
        <v>1400</v>
      </c>
      <c r="D82" s="416" t="s">
        <v>1514</v>
      </c>
      <c r="E82" s="417" t="s">
        <v>1398</v>
      </c>
      <c r="F82" s="418">
        <v>1.28</v>
      </c>
      <c r="G82" s="419">
        <v>33.28</v>
      </c>
      <c r="H82" s="418">
        <v>31.26</v>
      </c>
      <c r="I82" s="419">
        <v>43.68</v>
      </c>
      <c r="J82" s="419">
        <v>55.91</v>
      </c>
    </row>
    <row r="83" spans="1:10" s="237" customFormat="1" ht="42.75">
      <c r="A83" s="416" t="s">
        <v>486</v>
      </c>
      <c r="B83" s="417" t="s">
        <v>1515</v>
      </c>
      <c r="C83" s="417" t="s">
        <v>1400</v>
      </c>
      <c r="D83" s="416" t="s">
        <v>1516</v>
      </c>
      <c r="E83" s="417" t="s">
        <v>1398</v>
      </c>
      <c r="F83" s="418">
        <v>1.28</v>
      </c>
      <c r="G83" s="419">
        <v>92.92</v>
      </c>
      <c r="H83" s="418">
        <v>31.26</v>
      </c>
      <c r="I83" s="419">
        <v>121.97</v>
      </c>
      <c r="J83" s="419">
        <v>156.12</v>
      </c>
    </row>
    <row r="84" spans="1:10" s="237" customFormat="1" ht="15" customHeight="1">
      <c r="A84" s="241" t="s">
        <v>1517</v>
      </c>
      <c r="B84" s="242" t="s">
        <v>1518</v>
      </c>
      <c r="C84" s="242"/>
      <c r="D84" s="242"/>
      <c r="E84" s="242"/>
      <c r="F84" s="242"/>
      <c r="G84" s="242"/>
      <c r="H84" s="242"/>
      <c r="I84" s="242"/>
      <c r="J84" s="243">
        <v>1928802.22</v>
      </c>
    </row>
    <row r="85" spans="1:10" s="237" customFormat="1" ht="57">
      <c r="A85" s="416" t="s">
        <v>128</v>
      </c>
      <c r="B85" s="417" t="s">
        <v>2513</v>
      </c>
      <c r="C85" s="417" t="s">
        <v>1400</v>
      </c>
      <c r="D85" s="416" t="s">
        <v>2514</v>
      </c>
      <c r="E85" s="417" t="s">
        <v>1452</v>
      </c>
      <c r="F85" s="418">
        <v>15931.53</v>
      </c>
      <c r="G85" s="419">
        <v>44.09</v>
      </c>
      <c r="H85" s="418">
        <v>31.26</v>
      </c>
      <c r="I85" s="419">
        <v>57.87</v>
      </c>
      <c r="J85" s="419">
        <v>921957.64</v>
      </c>
    </row>
    <row r="86" spans="1:10" s="237" customFormat="1" ht="28.5">
      <c r="A86" s="416" t="s">
        <v>427</v>
      </c>
      <c r="B86" s="417" t="s">
        <v>1519</v>
      </c>
      <c r="C86" s="417" t="s">
        <v>1400</v>
      </c>
      <c r="D86" s="416" t="s">
        <v>1520</v>
      </c>
      <c r="E86" s="417" t="s">
        <v>1398</v>
      </c>
      <c r="F86" s="418">
        <v>1072.18</v>
      </c>
      <c r="G86" s="419">
        <v>202.49</v>
      </c>
      <c r="H86" s="418">
        <v>31.26</v>
      </c>
      <c r="I86" s="419">
        <v>265.79000000000002</v>
      </c>
      <c r="J86" s="419">
        <v>284974.71999999997</v>
      </c>
    </row>
    <row r="87" spans="1:10" s="237" customFormat="1" ht="114">
      <c r="A87" s="416" t="s">
        <v>428</v>
      </c>
      <c r="B87" s="417" t="s">
        <v>2482</v>
      </c>
      <c r="C87" s="417" t="s">
        <v>1099</v>
      </c>
      <c r="D87" s="416" t="s">
        <v>1129</v>
      </c>
      <c r="E87" s="417" t="s">
        <v>1398</v>
      </c>
      <c r="F87" s="418">
        <v>83.37</v>
      </c>
      <c r="G87" s="419">
        <v>1050</v>
      </c>
      <c r="H87" s="418">
        <v>31.26</v>
      </c>
      <c r="I87" s="419">
        <v>1378.23</v>
      </c>
      <c r="J87" s="419">
        <v>114903.03999999999</v>
      </c>
    </row>
    <row r="88" spans="1:10" s="237" customFormat="1" ht="42.75">
      <c r="A88" s="416" t="s">
        <v>429</v>
      </c>
      <c r="B88" s="417" t="s">
        <v>2483</v>
      </c>
      <c r="C88" s="417" t="s">
        <v>1099</v>
      </c>
      <c r="D88" s="416" t="s">
        <v>1131</v>
      </c>
      <c r="E88" s="417" t="s">
        <v>1398</v>
      </c>
      <c r="F88" s="418">
        <v>14.46</v>
      </c>
      <c r="G88" s="419">
        <v>421.86</v>
      </c>
      <c r="H88" s="418">
        <v>31.26</v>
      </c>
      <c r="I88" s="419">
        <v>553.73</v>
      </c>
      <c r="J88" s="419">
        <v>8006.94</v>
      </c>
    </row>
    <row r="89" spans="1:10" s="237" customFormat="1" ht="28.5">
      <c r="A89" s="416" t="s">
        <v>430</v>
      </c>
      <c r="B89" s="417" t="s">
        <v>2484</v>
      </c>
      <c r="C89" s="417" t="s">
        <v>1099</v>
      </c>
      <c r="D89" s="416" t="s">
        <v>1522</v>
      </c>
      <c r="E89" s="417" t="s">
        <v>1398</v>
      </c>
      <c r="F89" s="418">
        <v>14.46</v>
      </c>
      <c r="G89" s="419">
        <v>645.41</v>
      </c>
      <c r="H89" s="418">
        <v>31.26</v>
      </c>
      <c r="I89" s="419">
        <v>847.17</v>
      </c>
      <c r="J89" s="419">
        <v>12250.08</v>
      </c>
    </row>
    <row r="90" spans="1:10" s="237" customFormat="1" ht="28.5">
      <c r="A90" s="416" t="s">
        <v>431</v>
      </c>
      <c r="B90" s="417" t="s">
        <v>1523</v>
      </c>
      <c r="C90" s="417" t="s">
        <v>1400</v>
      </c>
      <c r="D90" s="416" t="s">
        <v>1524</v>
      </c>
      <c r="E90" s="417" t="s">
        <v>1416</v>
      </c>
      <c r="F90" s="418">
        <v>258.39999999999998</v>
      </c>
      <c r="G90" s="419">
        <v>52.48</v>
      </c>
      <c r="H90" s="418">
        <v>31.26</v>
      </c>
      <c r="I90" s="419">
        <v>68.89</v>
      </c>
      <c r="J90" s="419">
        <v>17801.18</v>
      </c>
    </row>
    <row r="91" spans="1:10" s="237" customFormat="1" ht="42.75">
      <c r="A91" s="416" t="s">
        <v>432</v>
      </c>
      <c r="B91" s="417" t="s">
        <v>1525</v>
      </c>
      <c r="C91" s="417" t="s">
        <v>1400</v>
      </c>
      <c r="D91" s="416" t="s">
        <v>1526</v>
      </c>
      <c r="E91" s="417" t="s">
        <v>1398</v>
      </c>
      <c r="F91" s="418">
        <v>924.4</v>
      </c>
      <c r="G91" s="419">
        <v>86.02</v>
      </c>
      <c r="H91" s="418">
        <v>31.26</v>
      </c>
      <c r="I91" s="419">
        <v>112.91</v>
      </c>
      <c r="J91" s="419">
        <v>104374</v>
      </c>
    </row>
    <row r="92" spans="1:10" s="237" customFormat="1" ht="42.75">
      <c r="A92" s="416" t="s">
        <v>433</v>
      </c>
      <c r="B92" s="417" t="s">
        <v>1527</v>
      </c>
      <c r="C92" s="417" t="s">
        <v>1400</v>
      </c>
      <c r="D92" s="416" t="s">
        <v>1528</v>
      </c>
      <c r="E92" s="417" t="s">
        <v>1416</v>
      </c>
      <c r="F92" s="418">
        <v>36.700000000000003</v>
      </c>
      <c r="G92" s="419">
        <v>89.16</v>
      </c>
      <c r="H92" s="418">
        <v>31.26</v>
      </c>
      <c r="I92" s="419">
        <v>117.03</v>
      </c>
      <c r="J92" s="419">
        <v>4295</v>
      </c>
    </row>
    <row r="93" spans="1:10" s="237" customFormat="1" ht="42.75">
      <c r="A93" s="416" t="s">
        <v>1346</v>
      </c>
      <c r="B93" s="417" t="s">
        <v>1529</v>
      </c>
      <c r="C93" s="417" t="s">
        <v>1400</v>
      </c>
      <c r="D93" s="416" t="s">
        <v>1530</v>
      </c>
      <c r="E93" s="417" t="s">
        <v>1416</v>
      </c>
      <c r="F93" s="418">
        <v>102.5</v>
      </c>
      <c r="G93" s="419">
        <v>171.89</v>
      </c>
      <c r="H93" s="418">
        <v>31.26</v>
      </c>
      <c r="I93" s="419">
        <v>225.62</v>
      </c>
      <c r="J93" s="419">
        <v>23126.05</v>
      </c>
    </row>
    <row r="94" spans="1:10" s="237" customFormat="1" ht="28.5">
      <c r="A94" s="416" t="s">
        <v>898</v>
      </c>
      <c r="B94" s="417" t="s">
        <v>1012</v>
      </c>
      <c r="C94" s="417" t="s">
        <v>1396</v>
      </c>
      <c r="D94" s="416" t="s">
        <v>1531</v>
      </c>
      <c r="E94" s="417" t="s">
        <v>1416</v>
      </c>
      <c r="F94" s="418">
        <v>236.09</v>
      </c>
      <c r="G94" s="419">
        <v>66.040000000000006</v>
      </c>
      <c r="H94" s="418">
        <v>31.26</v>
      </c>
      <c r="I94" s="419">
        <v>86.68</v>
      </c>
      <c r="J94" s="419">
        <v>20464.28</v>
      </c>
    </row>
    <row r="95" spans="1:10" s="237" customFormat="1" ht="28.5">
      <c r="A95" s="416" t="s">
        <v>899</v>
      </c>
      <c r="B95" s="417" t="s">
        <v>1013</v>
      </c>
      <c r="C95" s="417" t="s">
        <v>1396</v>
      </c>
      <c r="D95" s="416" t="s">
        <v>447</v>
      </c>
      <c r="E95" s="417" t="s">
        <v>1398</v>
      </c>
      <c r="F95" s="418">
        <v>50.68</v>
      </c>
      <c r="G95" s="419">
        <v>226.23</v>
      </c>
      <c r="H95" s="418">
        <v>31.26</v>
      </c>
      <c r="I95" s="419">
        <v>296.95</v>
      </c>
      <c r="J95" s="419">
        <v>15049.43</v>
      </c>
    </row>
    <row r="96" spans="1:10" s="237" customFormat="1" ht="57">
      <c r="A96" s="416" t="s">
        <v>900</v>
      </c>
      <c r="B96" s="417" t="s">
        <v>2507</v>
      </c>
      <c r="C96" s="417" t="s">
        <v>1400</v>
      </c>
      <c r="D96" s="416" t="s">
        <v>2515</v>
      </c>
      <c r="E96" s="417" t="s">
        <v>1398</v>
      </c>
      <c r="F96" s="418">
        <v>3535.21</v>
      </c>
      <c r="G96" s="419">
        <v>29.37</v>
      </c>
      <c r="H96" s="418">
        <v>31.26</v>
      </c>
      <c r="I96" s="419">
        <v>38.549999999999997</v>
      </c>
      <c r="J96" s="419">
        <v>136282.35</v>
      </c>
    </row>
    <row r="97" spans="1:10" s="237" customFormat="1" ht="57">
      <c r="A97" s="416" t="s">
        <v>2505</v>
      </c>
      <c r="B97" s="417" t="s">
        <v>1599</v>
      </c>
      <c r="C97" s="417" t="s">
        <v>1400</v>
      </c>
      <c r="D97" s="416" t="s">
        <v>1600</v>
      </c>
      <c r="E97" s="417" t="s">
        <v>1398</v>
      </c>
      <c r="F97" s="418">
        <v>3535.21</v>
      </c>
      <c r="G97" s="419">
        <v>57.18</v>
      </c>
      <c r="H97" s="418">
        <v>31.26</v>
      </c>
      <c r="I97" s="419">
        <v>75.05</v>
      </c>
      <c r="J97" s="419">
        <v>265317.51</v>
      </c>
    </row>
    <row r="98" spans="1:10" s="237" customFormat="1" ht="15" customHeight="1">
      <c r="A98" s="241" t="s">
        <v>1532</v>
      </c>
      <c r="B98" s="242" t="s">
        <v>54</v>
      </c>
      <c r="C98" s="242"/>
      <c r="D98" s="242"/>
      <c r="E98" s="242"/>
      <c r="F98" s="242"/>
      <c r="G98" s="242"/>
      <c r="H98" s="242"/>
      <c r="I98" s="242"/>
      <c r="J98" s="243">
        <v>371725.49</v>
      </c>
    </row>
    <row r="99" spans="1:10" s="237" customFormat="1" ht="15" customHeight="1">
      <c r="A99" s="241" t="s">
        <v>133</v>
      </c>
      <c r="B99" s="242" t="s">
        <v>55</v>
      </c>
      <c r="C99" s="242"/>
      <c r="D99" s="242"/>
      <c r="E99" s="242"/>
      <c r="F99" s="242"/>
      <c r="G99" s="242"/>
      <c r="H99" s="242"/>
      <c r="I99" s="242"/>
      <c r="J99" s="243">
        <v>242305.32</v>
      </c>
    </row>
    <row r="100" spans="1:10" s="237" customFormat="1" ht="85.5">
      <c r="A100" s="416" t="s">
        <v>366</v>
      </c>
      <c r="B100" s="417" t="s">
        <v>1533</v>
      </c>
      <c r="C100" s="417" t="s">
        <v>1400</v>
      </c>
      <c r="D100" s="416" t="s">
        <v>1534</v>
      </c>
      <c r="E100" s="417" t="s">
        <v>1398</v>
      </c>
      <c r="F100" s="418">
        <v>449.26</v>
      </c>
      <c r="G100" s="419">
        <v>48.06</v>
      </c>
      <c r="H100" s="418">
        <v>31.26</v>
      </c>
      <c r="I100" s="419">
        <v>63.08</v>
      </c>
      <c r="J100" s="419">
        <v>28339.32</v>
      </c>
    </row>
    <row r="101" spans="1:10" s="237" customFormat="1" ht="42.75">
      <c r="A101" s="416" t="s">
        <v>367</v>
      </c>
      <c r="B101" s="417" t="s">
        <v>1535</v>
      </c>
      <c r="C101" s="417" t="s">
        <v>1400</v>
      </c>
      <c r="D101" s="416" t="s">
        <v>1536</v>
      </c>
      <c r="E101" s="417" t="s">
        <v>1398</v>
      </c>
      <c r="F101" s="418">
        <v>206.9</v>
      </c>
      <c r="G101" s="419">
        <v>146.63</v>
      </c>
      <c r="H101" s="418">
        <v>31.26</v>
      </c>
      <c r="I101" s="419">
        <v>192.47</v>
      </c>
      <c r="J101" s="419">
        <v>39822.04</v>
      </c>
    </row>
    <row r="102" spans="1:10" s="237" customFormat="1" ht="42.75">
      <c r="A102" s="416" t="s">
        <v>368</v>
      </c>
      <c r="B102" s="417" t="s">
        <v>1537</v>
      </c>
      <c r="C102" s="417" t="s">
        <v>1400</v>
      </c>
      <c r="D102" s="416" t="s">
        <v>1538</v>
      </c>
      <c r="E102" s="417" t="s">
        <v>1398</v>
      </c>
      <c r="F102" s="418">
        <v>451.3</v>
      </c>
      <c r="G102" s="419">
        <v>42.95</v>
      </c>
      <c r="H102" s="418">
        <v>31.26</v>
      </c>
      <c r="I102" s="419">
        <v>56.38</v>
      </c>
      <c r="J102" s="419">
        <v>25444.29</v>
      </c>
    </row>
    <row r="103" spans="1:10" s="237" customFormat="1" ht="28.5">
      <c r="A103" s="416" t="s">
        <v>369</v>
      </c>
      <c r="B103" s="417" t="s">
        <v>1539</v>
      </c>
      <c r="C103" s="417" t="s">
        <v>1400</v>
      </c>
      <c r="D103" s="416" t="s">
        <v>1540</v>
      </c>
      <c r="E103" s="417" t="s">
        <v>1398</v>
      </c>
      <c r="F103" s="418">
        <v>242.36</v>
      </c>
      <c r="G103" s="419">
        <v>221.45</v>
      </c>
      <c r="H103" s="418">
        <v>31.26</v>
      </c>
      <c r="I103" s="419">
        <v>290.68</v>
      </c>
      <c r="J103" s="419">
        <v>70449.2</v>
      </c>
    </row>
    <row r="104" spans="1:10" s="237" customFormat="1" ht="28.5">
      <c r="A104" s="416" t="s">
        <v>399</v>
      </c>
      <c r="B104" s="417" t="s">
        <v>1541</v>
      </c>
      <c r="C104" s="417" t="s">
        <v>1396</v>
      </c>
      <c r="D104" s="416" t="s">
        <v>457</v>
      </c>
      <c r="E104" s="417" t="s">
        <v>1416</v>
      </c>
      <c r="F104" s="418">
        <v>424.82</v>
      </c>
      <c r="G104" s="419">
        <v>22.71</v>
      </c>
      <c r="H104" s="418">
        <v>31.26</v>
      </c>
      <c r="I104" s="419">
        <v>29.81</v>
      </c>
      <c r="J104" s="419">
        <v>12663.88</v>
      </c>
    </row>
    <row r="105" spans="1:10" s="237" customFormat="1" ht="42.75">
      <c r="A105" s="416" t="s">
        <v>400</v>
      </c>
      <c r="B105" s="417" t="s">
        <v>1542</v>
      </c>
      <c r="C105" s="417" t="s">
        <v>1400</v>
      </c>
      <c r="D105" s="416" t="s">
        <v>1543</v>
      </c>
      <c r="E105" s="417" t="s">
        <v>1422</v>
      </c>
      <c r="F105" s="418">
        <v>12.24</v>
      </c>
      <c r="G105" s="419">
        <v>143.52000000000001</v>
      </c>
      <c r="H105" s="418">
        <v>31.26</v>
      </c>
      <c r="I105" s="419">
        <v>188.38</v>
      </c>
      <c r="J105" s="419">
        <v>2305.77</v>
      </c>
    </row>
    <row r="106" spans="1:10" s="237" customFormat="1" ht="28.5">
      <c r="A106" s="416" t="s">
        <v>401</v>
      </c>
      <c r="B106" s="417" t="s">
        <v>1544</v>
      </c>
      <c r="C106" s="417" t="s">
        <v>1400</v>
      </c>
      <c r="D106" s="416" t="s">
        <v>1545</v>
      </c>
      <c r="E106" s="417" t="s">
        <v>1416</v>
      </c>
      <c r="F106" s="418">
        <v>221.25</v>
      </c>
      <c r="G106" s="419">
        <v>188.28</v>
      </c>
      <c r="H106" s="418">
        <v>31.26</v>
      </c>
      <c r="I106" s="419">
        <v>247.14</v>
      </c>
      <c r="J106" s="419">
        <v>54679.73</v>
      </c>
    </row>
    <row r="107" spans="1:10" s="237" customFormat="1" ht="28.5">
      <c r="A107" s="416" t="s">
        <v>402</v>
      </c>
      <c r="B107" s="417" t="s">
        <v>1546</v>
      </c>
      <c r="C107" s="417" t="s">
        <v>1400</v>
      </c>
      <c r="D107" s="416" t="s">
        <v>1547</v>
      </c>
      <c r="E107" s="417" t="s">
        <v>1422</v>
      </c>
      <c r="F107" s="418">
        <v>1.51</v>
      </c>
      <c r="G107" s="419">
        <v>80.3</v>
      </c>
      <c r="H107" s="418">
        <v>31.26</v>
      </c>
      <c r="I107" s="419">
        <v>105.4</v>
      </c>
      <c r="J107" s="419">
        <v>159.15</v>
      </c>
    </row>
    <row r="108" spans="1:10" s="237" customFormat="1" ht="28.5">
      <c r="A108" s="416" t="s">
        <v>403</v>
      </c>
      <c r="B108" s="417" t="s">
        <v>1548</v>
      </c>
      <c r="C108" s="417" t="s">
        <v>1400</v>
      </c>
      <c r="D108" s="416" t="s">
        <v>1549</v>
      </c>
      <c r="E108" s="417" t="s">
        <v>1398</v>
      </c>
      <c r="F108" s="418">
        <v>4.8600000000000003</v>
      </c>
      <c r="G108" s="419">
        <v>18.57</v>
      </c>
      <c r="H108" s="418">
        <v>31.26</v>
      </c>
      <c r="I108" s="419">
        <v>24.37</v>
      </c>
      <c r="J108" s="419">
        <v>118.44</v>
      </c>
    </row>
    <row r="109" spans="1:10" s="237" customFormat="1" ht="28.5">
      <c r="A109" s="416" t="s">
        <v>404</v>
      </c>
      <c r="B109" s="417" t="s">
        <v>1550</v>
      </c>
      <c r="C109" s="417" t="s">
        <v>1400</v>
      </c>
      <c r="D109" s="416" t="s">
        <v>1551</v>
      </c>
      <c r="E109" s="417" t="s">
        <v>1416</v>
      </c>
      <c r="F109" s="418">
        <v>53.7</v>
      </c>
      <c r="G109" s="419">
        <v>118.09</v>
      </c>
      <c r="H109" s="418">
        <v>31.26</v>
      </c>
      <c r="I109" s="419">
        <v>155</v>
      </c>
      <c r="J109" s="419">
        <v>8323.5</v>
      </c>
    </row>
    <row r="110" spans="1:10" s="237" customFormat="1" ht="15" customHeight="1">
      <c r="A110" s="241" t="s">
        <v>143</v>
      </c>
      <c r="B110" s="242" t="s">
        <v>56</v>
      </c>
      <c r="C110" s="242"/>
      <c r="D110" s="242"/>
      <c r="E110" s="242"/>
      <c r="F110" s="242"/>
      <c r="G110" s="242"/>
      <c r="H110" s="242"/>
      <c r="I110" s="242"/>
      <c r="J110" s="243">
        <v>129420.17</v>
      </c>
    </row>
    <row r="111" spans="1:10" s="237" customFormat="1" ht="42.75">
      <c r="A111" s="416" t="s">
        <v>405</v>
      </c>
      <c r="B111" s="417" t="s">
        <v>1552</v>
      </c>
      <c r="C111" s="417" t="s">
        <v>1400</v>
      </c>
      <c r="D111" s="416" t="s">
        <v>1553</v>
      </c>
      <c r="E111" s="417" t="s">
        <v>1422</v>
      </c>
      <c r="F111" s="418">
        <v>22.23</v>
      </c>
      <c r="G111" s="419">
        <v>741.34</v>
      </c>
      <c r="H111" s="418">
        <v>31.26</v>
      </c>
      <c r="I111" s="419">
        <v>973.08</v>
      </c>
      <c r="J111" s="419">
        <v>21631.57</v>
      </c>
    </row>
    <row r="112" spans="1:10" s="237" customFormat="1" ht="28.5">
      <c r="A112" s="416" t="s">
        <v>406</v>
      </c>
      <c r="B112" s="417" t="s">
        <v>1015</v>
      </c>
      <c r="C112" s="417" t="s">
        <v>1396</v>
      </c>
      <c r="D112" s="416" t="s">
        <v>1554</v>
      </c>
      <c r="E112" s="417" t="s">
        <v>1416</v>
      </c>
      <c r="F112" s="418">
        <v>463.98</v>
      </c>
      <c r="G112" s="419">
        <v>8.93</v>
      </c>
      <c r="H112" s="418">
        <v>31.26</v>
      </c>
      <c r="I112" s="419">
        <v>11.72</v>
      </c>
      <c r="J112" s="419">
        <v>5437.85</v>
      </c>
    </row>
    <row r="113" spans="1:10" s="237" customFormat="1" ht="28.5">
      <c r="A113" s="416" t="s">
        <v>407</v>
      </c>
      <c r="B113" s="417" t="s">
        <v>1016</v>
      </c>
      <c r="C113" s="417" t="s">
        <v>1396</v>
      </c>
      <c r="D113" s="416" t="s">
        <v>488</v>
      </c>
      <c r="E113" s="417" t="s">
        <v>1398</v>
      </c>
      <c r="F113" s="418">
        <v>32.44</v>
      </c>
      <c r="G113" s="419">
        <v>12.78</v>
      </c>
      <c r="H113" s="418">
        <v>31.26</v>
      </c>
      <c r="I113" s="419">
        <v>16.78</v>
      </c>
      <c r="J113" s="419">
        <v>544.34</v>
      </c>
    </row>
    <row r="114" spans="1:10" s="237" customFormat="1" ht="71.25">
      <c r="A114" s="416" t="s">
        <v>408</v>
      </c>
      <c r="B114" s="417" t="s">
        <v>1555</v>
      </c>
      <c r="C114" s="417" t="s">
        <v>1400</v>
      </c>
      <c r="D114" s="416" t="s">
        <v>1556</v>
      </c>
      <c r="E114" s="417" t="s">
        <v>1416</v>
      </c>
      <c r="F114" s="418">
        <v>234.95</v>
      </c>
      <c r="G114" s="419">
        <v>54.36</v>
      </c>
      <c r="H114" s="418">
        <v>31.26</v>
      </c>
      <c r="I114" s="419">
        <v>71.349999999999994</v>
      </c>
      <c r="J114" s="419">
        <v>16763.68</v>
      </c>
    </row>
    <row r="115" spans="1:10" s="237" customFormat="1" ht="42.75">
      <c r="A115" s="416" t="s">
        <v>482</v>
      </c>
      <c r="B115" s="417" t="s">
        <v>1557</v>
      </c>
      <c r="C115" s="417" t="s">
        <v>1400</v>
      </c>
      <c r="D115" s="416" t="s">
        <v>1558</v>
      </c>
      <c r="E115" s="417" t="s">
        <v>1398</v>
      </c>
      <c r="F115" s="418">
        <v>111.84</v>
      </c>
      <c r="G115" s="419">
        <v>81.33</v>
      </c>
      <c r="H115" s="418">
        <v>31.26</v>
      </c>
      <c r="I115" s="419">
        <v>106.75</v>
      </c>
      <c r="J115" s="419">
        <v>11938.92</v>
      </c>
    </row>
    <row r="116" spans="1:10" s="237" customFormat="1" ht="42.75">
      <c r="A116" s="416" t="s">
        <v>483</v>
      </c>
      <c r="B116" s="417" t="s">
        <v>1559</v>
      </c>
      <c r="C116" s="417" t="s">
        <v>1400</v>
      </c>
      <c r="D116" s="416" t="s">
        <v>1560</v>
      </c>
      <c r="E116" s="417" t="s">
        <v>1398</v>
      </c>
      <c r="F116" s="418">
        <v>541.53</v>
      </c>
      <c r="G116" s="419">
        <v>69.89</v>
      </c>
      <c r="H116" s="418">
        <v>31.26</v>
      </c>
      <c r="I116" s="419">
        <v>91.74</v>
      </c>
      <c r="J116" s="419">
        <v>49679.96</v>
      </c>
    </row>
    <row r="117" spans="1:10" s="237" customFormat="1" ht="57">
      <c r="A117" s="416" t="s">
        <v>409</v>
      </c>
      <c r="B117" s="417" t="s">
        <v>1428</v>
      </c>
      <c r="C117" s="417" t="s">
        <v>1400</v>
      </c>
      <c r="D117" s="416" t="s">
        <v>1429</v>
      </c>
      <c r="E117" s="417" t="s">
        <v>1398</v>
      </c>
      <c r="F117" s="418">
        <v>931.2</v>
      </c>
      <c r="G117" s="419">
        <v>0.79</v>
      </c>
      <c r="H117" s="418">
        <v>31.26</v>
      </c>
      <c r="I117" s="419">
        <v>1.04</v>
      </c>
      <c r="J117" s="419">
        <v>968.45</v>
      </c>
    </row>
    <row r="118" spans="1:10" s="237" customFormat="1" ht="28.5">
      <c r="A118" s="416" t="s">
        <v>936</v>
      </c>
      <c r="B118" s="417" t="s">
        <v>1561</v>
      </c>
      <c r="C118" s="417" t="s">
        <v>1400</v>
      </c>
      <c r="D118" s="416" t="s">
        <v>1562</v>
      </c>
      <c r="E118" s="417" t="s">
        <v>1398</v>
      </c>
      <c r="F118" s="418">
        <v>513.11</v>
      </c>
      <c r="G118" s="419">
        <v>21.89</v>
      </c>
      <c r="H118" s="418">
        <v>31.26</v>
      </c>
      <c r="I118" s="419">
        <v>28.73</v>
      </c>
      <c r="J118" s="419">
        <v>14741.65</v>
      </c>
    </row>
    <row r="119" spans="1:10" s="237" customFormat="1" ht="28.5">
      <c r="A119" s="416" t="s">
        <v>938</v>
      </c>
      <c r="B119" s="417" t="s">
        <v>1563</v>
      </c>
      <c r="C119" s="417" t="s">
        <v>1400</v>
      </c>
      <c r="D119" s="416" t="s">
        <v>1564</v>
      </c>
      <c r="E119" s="417" t="s">
        <v>1422</v>
      </c>
      <c r="F119" s="418">
        <v>6.58</v>
      </c>
      <c r="G119" s="419">
        <v>98.18</v>
      </c>
      <c r="H119" s="418">
        <v>31.26</v>
      </c>
      <c r="I119" s="419">
        <v>128.87</v>
      </c>
      <c r="J119" s="419">
        <v>847.96</v>
      </c>
    </row>
    <row r="120" spans="1:10" s="237" customFormat="1" ht="28.5">
      <c r="A120" s="416" t="s">
        <v>1189</v>
      </c>
      <c r="B120" s="417" t="s">
        <v>1017</v>
      </c>
      <c r="C120" s="417" t="s">
        <v>1396</v>
      </c>
      <c r="D120" s="416" t="s">
        <v>939</v>
      </c>
      <c r="E120" s="417" t="s">
        <v>1422</v>
      </c>
      <c r="F120" s="418">
        <v>20.52</v>
      </c>
      <c r="G120" s="419">
        <v>254.91</v>
      </c>
      <c r="H120" s="418">
        <v>31.26</v>
      </c>
      <c r="I120" s="419">
        <v>334.59</v>
      </c>
      <c r="J120" s="419">
        <v>6865.79</v>
      </c>
    </row>
    <row r="121" spans="1:10" s="237" customFormat="1" ht="15" customHeight="1">
      <c r="A121" s="241" t="s">
        <v>1565</v>
      </c>
      <c r="B121" s="242" t="s">
        <v>1566</v>
      </c>
      <c r="C121" s="242"/>
      <c r="D121" s="242"/>
      <c r="E121" s="242"/>
      <c r="F121" s="242"/>
      <c r="G121" s="242"/>
      <c r="H121" s="242"/>
      <c r="I121" s="242"/>
      <c r="J121" s="243">
        <v>367671.36</v>
      </c>
    </row>
    <row r="122" spans="1:10" s="237" customFormat="1" ht="15" customHeight="1">
      <c r="A122" s="241" t="s">
        <v>153</v>
      </c>
      <c r="B122" s="242" t="s">
        <v>49</v>
      </c>
      <c r="C122" s="242"/>
      <c r="D122" s="242"/>
      <c r="E122" s="242"/>
      <c r="F122" s="242"/>
      <c r="G122" s="242"/>
      <c r="H122" s="242"/>
      <c r="I122" s="242"/>
      <c r="J122" s="243">
        <v>66462.12</v>
      </c>
    </row>
    <row r="123" spans="1:10" s="237" customFormat="1" ht="71.25">
      <c r="A123" s="416" t="s">
        <v>372</v>
      </c>
      <c r="B123" s="417" t="s">
        <v>1261</v>
      </c>
      <c r="C123" s="417" t="s">
        <v>1396</v>
      </c>
      <c r="D123" s="416" t="s">
        <v>1140</v>
      </c>
      <c r="E123" s="417" t="s">
        <v>1403</v>
      </c>
      <c r="F123" s="418">
        <v>6</v>
      </c>
      <c r="G123" s="419">
        <v>1568.63</v>
      </c>
      <c r="H123" s="418">
        <v>31.26</v>
      </c>
      <c r="I123" s="419">
        <v>2058.98</v>
      </c>
      <c r="J123" s="419">
        <v>12353.88</v>
      </c>
    </row>
    <row r="124" spans="1:10" s="237" customFormat="1" ht="71.25">
      <c r="A124" s="416" t="s">
        <v>410</v>
      </c>
      <c r="B124" s="417" t="s">
        <v>1567</v>
      </c>
      <c r="C124" s="417" t="s">
        <v>1400</v>
      </c>
      <c r="D124" s="416" t="s">
        <v>1568</v>
      </c>
      <c r="E124" s="417" t="s">
        <v>1403</v>
      </c>
      <c r="F124" s="418">
        <v>9</v>
      </c>
      <c r="G124" s="419">
        <v>1258.6300000000001</v>
      </c>
      <c r="H124" s="418">
        <v>31.26</v>
      </c>
      <c r="I124" s="419">
        <v>1652.08</v>
      </c>
      <c r="J124" s="419">
        <v>14868.72</v>
      </c>
    </row>
    <row r="125" spans="1:10" s="237" customFormat="1" ht="71.25">
      <c r="A125" s="416" t="s">
        <v>411</v>
      </c>
      <c r="B125" s="417" t="s">
        <v>1569</v>
      </c>
      <c r="C125" s="417" t="s">
        <v>1400</v>
      </c>
      <c r="D125" s="416" t="s">
        <v>1570</v>
      </c>
      <c r="E125" s="417" t="s">
        <v>1403</v>
      </c>
      <c r="F125" s="418">
        <v>5</v>
      </c>
      <c r="G125" s="419">
        <v>1174.99</v>
      </c>
      <c r="H125" s="418">
        <v>31.26</v>
      </c>
      <c r="I125" s="419">
        <v>1542.29</v>
      </c>
      <c r="J125" s="419">
        <v>7711.45</v>
      </c>
    </row>
    <row r="126" spans="1:10" s="237" customFormat="1" ht="71.25">
      <c r="A126" s="416" t="s">
        <v>412</v>
      </c>
      <c r="B126" s="417" t="s">
        <v>1571</v>
      </c>
      <c r="C126" s="417" t="s">
        <v>1400</v>
      </c>
      <c r="D126" s="416" t="s">
        <v>1572</v>
      </c>
      <c r="E126" s="417" t="s">
        <v>1403</v>
      </c>
      <c r="F126" s="418">
        <v>6</v>
      </c>
      <c r="G126" s="419">
        <v>1121.71</v>
      </c>
      <c r="H126" s="418">
        <v>31.26</v>
      </c>
      <c r="I126" s="419">
        <v>1472.36</v>
      </c>
      <c r="J126" s="419">
        <v>8834.16</v>
      </c>
    </row>
    <row r="127" spans="1:10" s="237" customFormat="1" ht="71.25">
      <c r="A127" s="416" t="s">
        <v>1111</v>
      </c>
      <c r="B127" s="417" t="s">
        <v>1573</v>
      </c>
      <c r="C127" s="417" t="s">
        <v>1400</v>
      </c>
      <c r="D127" s="416" t="s">
        <v>1574</v>
      </c>
      <c r="E127" s="417" t="s">
        <v>1403</v>
      </c>
      <c r="F127" s="418">
        <v>11</v>
      </c>
      <c r="G127" s="419">
        <v>1111.0899999999999</v>
      </c>
      <c r="H127" s="418">
        <v>31.26</v>
      </c>
      <c r="I127" s="419">
        <v>1458.42</v>
      </c>
      <c r="J127" s="419">
        <v>16042.62</v>
      </c>
    </row>
    <row r="128" spans="1:10" s="237" customFormat="1" ht="28.5">
      <c r="A128" s="416" t="s">
        <v>1142</v>
      </c>
      <c r="B128" s="417" t="s">
        <v>1075</v>
      </c>
      <c r="C128" s="417" t="s">
        <v>1396</v>
      </c>
      <c r="D128" s="416" t="s">
        <v>1074</v>
      </c>
      <c r="E128" s="417" t="s">
        <v>1416</v>
      </c>
      <c r="F128" s="418">
        <v>137.13999999999999</v>
      </c>
      <c r="G128" s="419">
        <v>36.950000000000003</v>
      </c>
      <c r="H128" s="418">
        <v>31.26</v>
      </c>
      <c r="I128" s="419">
        <v>48.5</v>
      </c>
      <c r="J128" s="419">
        <v>6651.29</v>
      </c>
    </row>
    <row r="129" spans="1:10" s="237" customFormat="1" ht="15" customHeight="1">
      <c r="A129" s="241" t="s">
        <v>154</v>
      </c>
      <c r="B129" s="242" t="s">
        <v>51</v>
      </c>
      <c r="C129" s="242"/>
      <c r="D129" s="242"/>
      <c r="E129" s="242"/>
      <c r="F129" s="242"/>
      <c r="G129" s="242"/>
      <c r="H129" s="242"/>
      <c r="I129" s="242"/>
      <c r="J129" s="243">
        <v>7699.54</v>
      </c>
    </row>
    <row r="130" spans="1:10" s="237" customFormat="1" ht="28.5">
      <c r="A130" s="416" t="s">
        <v>413</v>
      </c>
      <c r="B130" s="417" t="s">
        <v>1575</v>
      </c>
      <c r="C130" s="417" t="s">
        <v>1400</v>
      </c>
      <c r="D130" s="416" t="s">
        <v>1576</v>
      </c>
      <c r="E130" s="417" t="s">
        <v>1403</v>
      </c>
      <c r="F130" s="418">
        <v>10</v>
      </c>
      <c r="G130" s="419">
        <v>259.3</v>
      </c>
      <c r="H130" s="418">
        <v>31.26</v>
      </c>
      <c r="I130" s="419">
        <v>340.36</v>
      </c>
      <c r="J130" s="419">
        <v>3403.6</v>
      </c>
    </row>
    <row r="131" spans="1:10" s="237" customFormat="1" ht="28.5">
      <c r="A131" s="416" t="s">
        <v>414</v>
      </c>
      <c r="B131" s="417" t="s">
        <v>1577</v>
      </c>
      <c r="C131" s="417" t="s">
        <v>1400</v>
      </c>
      <c r="D131" s="416" t="s">
        <v>1578</v>
      </c>
      <c r="E131" s="417" t="s">
        <v>1403</v>
      </c>
      <c r="F131" s="418">
        <v>11</v>
      </c>
      <c r="G131" s="419">
        <v>92.09</v>
      </c>
      <c r="H131" s="418">
        <v>31.26</v>
      </c>
      <c r="I131" s="419">
        <v>120.88</v>
      </c>
      <c r="J131" s="419">
        <v>1329.68</v>
      </c>
    </row>
    <row r="132" spans="1:10" s="237" customFormat="1" ht="28.5">
      <c r="A132" s="416" t="s">
        <v>415</v>
      </c>
      <c r="B132" s="417" t="s">
        <v>1112</v>
      </c>
      <c r="C132" s="417" t="s">
        <v>1396</v>
      </c>
      <c r="D132" s="416" t="s">
        <v>1077</v>
      </c>
      <c r="E132" s="417" t="s">
        <v>1398</v>
      </c>
      <c r="F132" s="418">
        <v>9</v>
      </c>
      <c r="G132" s="419">
        <v>160.31</v>
      </c>
      <c r="H132" s="418">
        <v>31.26</v>
      </c>
      <c r="I132" s="419">
        <v>210.42</v>
      </c>
      <c r="J132" s="419">
        <v>1893.78</v>
      </c>
    </row>
    <row r="133" spans="1:10" s="237" customFormat="1" ht="57">
      <c r="A133" s="416" t="s">
        <v>902</v>
      </c>
      <c r="B133" s="417" t="s">
        <v>1579</v>
      </c>
      <c r="C133" s="417" t="s">
        <v>1400</v>
      </c>
      <c r="D133" s="416" t="s">
        <v>1580</v>
      </c>
      <c r="E133" s="417" t="s">
        <v>1403</v>
      </c>
      <c r="F133" s="418">
        <v>4</v>
      </c>
      <c r="G133" s="419">
        <v>204.27</v>
      </c>
      <c r="H133" s="418">
        <v>31.26</v>
      </c>
      <c r="I133" s="419">
        <v>268.12</v>
      </c>
      <c r="J133" s="419">
        <v>1072.48</v>
      </c>
    </row>
    <row r="134" spans="1:10" s="237" customFormat="1" ht="15.75">
      <c r="A134" s="241" t="s">
        <v>416</v>
      </c>
      <c r="B134" s="242" t="s">
        <v>52</v>
      </c>
      <c r="C134" s="242"/>
      <c r="D134" s="242"/>
      <c r="E134" s="242"/>
      <c r="F134" s="242"/>
      <c r="G134" s="242"/>
      <c r="H134" s="242"/>
      <c r="I134" s="242"/>
      <c r="J134" s="243">
        <v>13578.37</v>
      </c>
    </row>
    <row r="135" spans="1:10" s="237" customFormat="1" ht="42.75">
      <c r="A135" s="416" t="s">
        <v>417</v>
      </c>
      <c r="B135" s="417" t="s">
        <v>1078</v>
      </c>
      <c r="C135" s="417" t="s">
        <v>1396</v>
      </c>
      <c r="D135" s="416" t="s">
        <v>1581</v>
      </c>
      <c r="E135" s="417" t="s">
        <v>1403</v>
      </c>
      <c r="F135" s="418">
        <v>1</v>
      </c>
      <c r="G135" s="419">
        <v>4990.09</v>
      </c>
      <c r="H135" s="418">
        <v>31.26</v>
      </c>
      <c r="I135" s="419">
        <v>6549.99</v>
      </c>
      <c r="J135" s="419">
        <v>6549.99</v>
      </c>
    </row>
    <row r="136" spans="1:10" s="237" customFormat="1" ht="28.5">
      <c r="A136" s="416" t="s">
        <v>418</v>
      </c>
      <c r="B136" s="417" t="s">
        <v>1018</v>
      </c>
      <c r="C136" s="417" t="s">
        <v>1396</v>
      </c>
      <c r="D136" s="416" t="s">
        <v>147</v>
      </c>
      <c r="E136" s="417" t="s">
        <v>1398</v>
      </c>
      <c r="F136" s="418">
        <v>5.92</v>
      </c>
      <c r="G136" s="419">
        <v>370.94</v>
      </c>
      <c r="H136" s="418">
        <v>31.26</v>
      </c>
      <c r="I136" s="419">
        <v>486.9</v>
      </c>
      <c r="J136" s="419">
        <v>2882.45</v>
      </c>
    </row>
    <row r="137" spans="1:10" s="237" customFormat="1" ht="28.5">
      <c r="A137" s="416" t="s">
        <v>419</v>
      </c>
      <c r="B137" s="417" t="s">
        <v>1582</v>
      </c>
      <c r="C137" s="417" t="s">
        <v>1400</v>
      </c>
      <c r="D137" s="416" t="s">
        <v>1583</v>
      </c>
      <c r="E137" s="417" t="s">
        <v>1398</v>
      </c>
      <c r="F137" s="418">
        <v>5.22</v>
      </c>
      <c r="G137" s="419">
        <v>605.09</v>
      </c>
      <c r="H137" s="418">
        <v>31.26</v>
      </c>
      <c r="I137" s="419">
        <v>794.24</v>
      </c>
      <c r="J137" s="419">
        <v>4145.93</v>
      </c>
    </row>
    <row r="138" spans="1:10" s="237" customFormat="1" ht="15" customHeight="1">
      <c r="A138" s="241" t="s">
        <v>238</v>
      </c>
      <c r="B138" s="242" t="s">
        <v>53</v>
      </c>
      <c r="C138" s="242"/>
      <c r="D138" s="242"/>
      <c r="E138" s="242"/>
      <c r="F138" s="242"/>
      <c r="G138" s="242"/>
      <c r="H138" s="242"/>
      <c r="I138" s="242"/>
      <c r="J138" s="243">
        <v>79493.33</v>
      </c>
    </row>
    <row r="139" spans="1:10" s="237" customFormat="1" ht="42.75">
      <c r="A139" s="416" t="s">
        <v>420</v>
      </c>
      <c r="B139" s="417" t="s">
        <v>1584</v>
      </c>
      <c r="C139" s="417" t="s">
        <v>1400</v>
      </c>
      <c r="D139" s="416" t="s">
        <v>1585</v>
      </c>
      <c r="E139" s="417" t="s">
        <v>1398</v>
      </c>
      <c r="F139" s="418">
        <v>67.900000000000006</v>
      </c>
      <c r="G139" s="419">
        <v>785.71</v>
      </c>
      <c r="H139" s="418">
        <v>31.26</v>
      </c>
      <c r="I139" s="419">
        <v>1031.32</v>
      </c>
      <c r="J139" s="419">
        <v>70026.63</v>
      </c>
    </row>
    <row r="140" spans="1:10" s="237" customFormat="1" ht="42.75">
      <c r="A140" s="416" t="s">
        <v>421</v>
      </c>
      <c r="B140" s="417" t="s">
        <v>1586</v>
      </c>
      <c r="C140" s="417" t="s">
        <v>1400</v>
      </c>
      <c r="D140" s="416" t="s">
        <v>1587</v>
      </c>
      <c r="E140" s="417" t="s">
        <v>1398</v>
      </c>
      <c r="F140" s="418">
        <v>2.6</v>
      </c>
      <c r="G140" s="419">
        <v>851.39</v>
      </c>
      <c r="H140" s="418">
        <v>31.26</v>
      </c>
      <c r="I140" s="419">
        <v>1117.53</v>
      </c>
      <c r="J140" s="419">
        <v>2905.58</v>
      </c>
    </row>
    <row r="141" spans="1:10" s="237" customFormat="1" ht="57">
      <c r="A141" s="416" t="s">
        <v>422</v>
      </c>
      <c r="B141" s="417" t="s">
        <v>1588</v>
      </c>
      <c r="C141" s="417" t="s">
        <v>1400</v>
      </c>
      <c r="D141" s="416" t="s">
        <v>1589</v>
      </c>
      <c r="E141" s="417" t="s">
        <v>1398</v>
      </c>
      <c r="F141" s="418">
        <v>11.1</v>
      </c>
      <c r="G141" s="419">
        <v>406.63</v>
      </c>
      <c r="H141" s="418">
        <v>31.26</v>
      </c>
      <c r="I141" s="419">
        <v>533.74</v>
      </c>
      <c r="J141" s="419">
        <v>5924.51</v>
      </c>
    </row>
    <row r="142" spans="1:10" s="237" customFormat="1" ht="28.5">
      <c r="A142" s="416" t="s">
        <v>1165</v>
      </c>
      <c r="B142" s="417" t="s">
        <v>1019</v>
      </c>
      <c r="C142" s="417" t="s">
        <v>1396</v>
      </c>
      <c r="D142" s="416" t="s">
        <v>274</v>
      </c>
      <c r="E142" s="417" t="s">
        <v>1398</v>
      </c>
      <c r="F142" s="418">
        <v>4.7300000000000004</v>
      </c>
      <c r="G142" s="419">
        <v>102.54</v>
      </c>
      <c r="H142" s="418">
        <v>31.26</v>
      </c>
      <c r="I142" s="419">
        <v>134.59</v>
      </c>
      <c r="J142" s="419">
        <v>636.61</v>
      </c>
    </row>
    <row r="143" spans="1:10" s="237" customFormat="1" ht="15" customHeight="1">
      <c r="A143" s="241" t="s">
        <v>239</v>
      </c>
      <c r="B143" s="242" t="s">
        <v>1590</v>
      </c>
      <c r="C143" s="242"/>
      <c r="D143" s="242"/>
      <c r="E143" s="242"/>
      <c r="F143" s="242"/>
      <c r="G143" s="242"/>
      <c r="H143" s="242"/>
      <c r="I143" s="242"/>
      <c r="J143" s="243">
        <v>200438</v>
      </c>
    </row>
    <row r="144" spans="1:10" s="237" customFormat="1" ht="42.75">
      <c r="A144" s="416" t="s">
        <v>434</v>
      </c>
      <c r="B144" s="417" t="s">
        <v>1591</v>
      </c>
      <c r="C144" s="417" t="s">
        <v>1400</v>
      </c>
      <c r="D144" s="416" t="s">
        <v>1592</v>
      </c>
      <c r="E144" s="417" t="s">
        <v>1398</v>
      </c>
      <c r="F144" s="418">
        <v>5.38</v>
      </c>
      <c r="G144" s="419">
        <v>701.21</v>
      </c>
      <c r="H144" s="418">
        <v>31.26</v>
      </c>
      <c r="I144" s="419">
        <v>920.41</v>
      </c>
      <c r="J144" s="419">
        <v>4951.8100000000004</v>
      </c>
    </row>
    <row r="145" spans="1:10" s="237" customFormat="1" ht="28.5">
      <c r="A145" s="416" t="s">
        <v>435</v>
      </c>
      <c r="B145" s="417" t="s">
        <v>1593</v>
      </c>
      <c r="C145" s="417" t="s">
        <v>1400</v>
      </c>
      <c r="D145" s="416" t="s">
        <v>1594</v>
      </c>
      <c r="E145" s="417" t="s">
        <v>1398</v>
      </c>
      <c r="F145" s="418">
        <v>22.64</v>
      </c>
      <c r="G145" s="419">
        <v>667.14</v>
      </c>
      <c r="H145" s="418">
        <v>31.26</v>
      </c>
      <c r="I145" s="419">
        <v>875.69</v>
      </c>
      <c r="J145" s="419">
        <v>19825.62</v>
      </c>
    </row>
    <row r="146" spans="1:10" s="237" customFormat="1" ht="57">
      <c r="A146" s="416" t="s">
        <v>436</v>
      </c>
      <c r="B146" s="417" t="s">
        <v>1020</v>
      </c>
      <c r="C146" s="417" t="s">
        <v>1396</v>
      </c>
      <c r="D146" s="416" t="s">
        <v>275</v>
      </c>
      <c r="E146" s="417" t="s">
        <v>1398</v>
      </c>
      <c r="F146" s="418">
        <v>2.1</v>
      </c>
      <c r="G146" s="419">
        <v>959.49</v>
      </c>
      <c r="H146" s="418">
        <v>31.26</v>
      </c>
      <c r="I146" s="419">
        <v>1259.43</v>
      </c>
      <c r="J146" s="419">
        <v>2644.8</v>
      </c>
    </row>
    <row r="147" spans="1:10" s="237" customFormat="1" ht="42.75">
      <c r="A147" s="416" t="s">
        <v>437</v>
      </c>
      <c r="B147" s="417" t="s">
        <v>1595</v>
      </c>
      <c r="C147" s="417" t="s">
        <v>1400</v>
      </c>
      <c r="D147" s="416" t="s">
        <v>1596</v>
      </c>
      <c r="E147" s="417" t="s">
        <v>1398</v>
      </c>
      <c r="F147" s="418">
        <v>72.59</v>
      </c>
      <c r="G147" s="419">
        <v>488.05</v>
      </c>
      <c r="H147" s="418">
        <v>31.26</v>
      </c>
      <c r="I147" s="419">
        <v>640.61</v>
      </c>
      <c r="J147" s="419">
        <v>46501.88</v>
      </c>
    </row>
    <row r="148" spans="1:10" s="237" customFormat="1" ht="28.5">
      <c r="A148" s="416" t="s">
        <v>1148</v>
      </c>
      <c r="B148" s="417" t="s">
        <v>1063</v>
      </c>
      <c r="C148" s="417" t="s">
        <v>1396</v>
      </c>
      <c r="D148" s="416" t="s">
        <v>1597</v>
      </c>
      <c r="E148" s="417" t="s">
        <v>1398</v>
      </c>
      <c r="F148" s="418">
        <v>139.41999999999999</v>
      </c>
      <c r="G148" s="419">
        <v>691.32</v>
      </c>
      <c r="H148" s="418">
        <v>31.26</v>
      </c>
      <c r="I148" s="419">
        <v>907.43</v>
      </c>
      <c r="J148" s="419">
        <v>126513.89</v>
      </c>
    </row>
    <row r="149" spans="1:10" s="237" customFormat="1" ht="15.75">
      <c r="A149" s="241" t="s">
        <v>1598</v>
      </c>
      <c r="B149" s="242" t="s">
        <v>57</v>
      </c>
      <c r="C149" s="242"/>
      <c r="D149" s="242"/>
      <c r="E149" s="242"/>
      <c r="F149" s="242"/>
      <c r="G149" s="242"/>
      <c r="H149" s="242"/>
      <c r="I149" s="242"/>
      <c r="J149" s="243">
        <v>104572.81</v>
      </c>
    </row>
    <row r="150" spans="1:10" s="237" customFormat="1" ht="57">
      <c r="A150" s="416" t="s">
        <v>438</v>
      </c>
      <c r="B150" s="417" t="s">
        <v>1599</v>
      </c>
      <c r="C150" s="417" t="s">
        <v>1400</v>
      </c>
      <c r="D150" s="416" t="s">
        <v>1600</v>
      </c>
      <c r="E150" s="417" t="s">
        <v>1398</v>
      </c>
      <c r="F150" s="418">
        <v>514.22</v>
      </c>
      <c r="G150" s="419">
        <v>57.18</v>
      </c>
      <c r="H150" s="418">
        <v>31.26</v>
      </c>
      <c r="I150" s="419">
        <v>75.05</v>
      </c>
      <c r="J150" s="419">
        <v>38592.21</v>
      </c>
    </row>
    <row r="151" spans="1:10" s="237" customFormat="1" ht="57">
      <c r="A151" s="416" t="s">
        <v>439</v>
      </c>
      <c r="B151" s="417" t="s">
        <v>2507</v>
      </c>
      <c r="C151" s="417" t="s">
        <v>1400</v>
      </c>
      <c r="D151" s="416" t="s">
        <v>2515</v>
      </c>
      <c r="E151" s="417" t="s">
        <v>1398</v>
      </c>
      <c r="F151" s="418">
        <v>463.54</v>
      </c>
      <c r="G151" s="419">
        <v>29.37</v>
      </c>
      <c r="H151" s="418">
        <v>31.26</v>
      </c>
      <c r="I151" s="419">
        <v>38.549999999999997</v>
      </c>
      <c r="J151" s="419">
        <v>17869.47</v>
      </c>
    </row>
    <row r="152" spans="1:10" s="237" customFormat="1" ht="28.5">
      <c r="A152" s="416" t="s">
        <v>440</v>
      </c>
      <c r="B152" s="417" t="s">
        <v>1601</v>
      </c>
      <c r="C152" s="417" t="s">
        <v>1396</v>
      </c>
      <c r="D152" s="416" t="s">
        <v>1602</v>
      </c>
      <c r="E152" s="417" t="s">
        <v>1398</v>
      </c>
      <c r="F152" s="418">
        <v>146.94999999999999</v>
      </c>
      <c r="G152" s="419">
        <v>40.369999999999997</v>
      </c>
      <c r="H152" s="418">
        <v>31.26</v>
      </c>
      <c r="I152" s="419">
        <v>52.99</v>
      </c>
      <c r="J152" s="419">
        <v>7786.88</v>
      </c>
    </row>
    <row r="153" spans="1:10" s="237" customFormat="1" ht="28.5">
      <c r="A153" s="416" t="s">
        <v>441</v>
      </c>
      <c r="B153" s="417" t="s">
        <v>1022</v>
      </c>
      <c r="C153" s="417" t="s">
        <v>1396</v>
      </c>
      <c r="D153" s="416" t="s">
        <v>458</v>
      </c>
      <c r="E153" s="417" t="s">
        <v>1398</v>
      </c>
      <c r="F153" s="418">
        <v>337.79</v>
      </c>
      <c r="G153" s="419">
        <v>72.67</v>
      </c>
      <c r="H153" s="418">
        <v>31.26</v>
      </c>
      <c r="I153" s="419">
        <v>95.39</v>
      </c>
      <c r="J153" s="419">
        <v>32221.79</v>
      </c>
    </row>
    <row r="154" spans="1:10" s="237" customFormat="1" ht="28.5">
      <c r="A154" s="416" t="s">
        <v>442</v>
      </c>
      <c r="B154" s="417" t="s">
        <v>1603</v>
      </c>
      <c r="C154" s="417" t="s">
        <v>1400</v>
      </c>
      <c r="D154" s="416" t="s">
        <v>1604</v>
      </c>
      <c r="E154" s="417" t="s">
        <v>1398</v>
      </c>
      <c r="F154" s="418">
        <v>270.23</v>
      </c>
      <c r="G154" s="419">
        <v>13.24</v>
      </c>
      <c r="H154" s="418">
        <v>31.26</v>
      </c>
      <c r="I154" s="419">
        <v>17.38</v>
      </c>
      <c r="J154" s="419">
        <v>4696.6000000000004</v>
      </c>
    </row>
    <row r="155" spans="1:10" s="237" customFormat="1" ht="42.75">
      <c r="A155" s="416" t="s">
        <v>443</v>
      </c>
      <c r="B155" s="417" t="s">
        <v>1605</v>
      </c>
      <c r="C155" s="417" t="s">
        <v>1400</v>
      </c>
      <c r="D155" s="416" t="s">
        <v>1606</v>
      </c>
      <c r="E155" s="417" t="s">
        <v>1398</v>
      </c>
      <c r="F155" s="418">
        <v>12.92</v>
      </c>
      <c r="G155" s="419">
        <v>89.33</v>
      </c>
      <c r="H155" s="418">
        <v>31.26</v>
      </c>
      <c r="I155" s="419">
        <v>117.25</v>
      </c>
      <c r="J155" s="419">
        <v>1514.87</v>
      </c>
    </row>
    <row r="156" spans="1:10" s="237" customFormat="1" ht="28.5">
      <c r="A156" s="416" t="s">
        <v>903</v>
      </c>
      <c r="B156" s="417" t="s">
        <v>1607</v>
      </c>
      <c r="C156" s="417" t="s">
        <v>1400</v>
      </c>
      <c r="D156" s="416" t="s">
        <v>1608</v>
      </c>
      <c r="E156" s="417" t="s">
        <v>1398</v>
      </c>
      <c r="F156" s="418">
        <v>13.38</v>
      </c>
      <c r="G156" s="419">
        <v>76.37</v>
      </c>
      <c r="H156" s="418">
        <v>31.26</v>
      </c>
      <c r="I156" s="419">
        <v>100.24</v>
      </c>
      <c r="J156" s="419">
        <v>1341.21</v>
      </c>
    </row>
    <row r="157" spans="1:10" s="237" customFormat="1" ht="28.5">
      <c r="A157" s="416" t="s">
        <v>2511</v>
      </c>
      <c r="B157" s="417" t="s">
        <v>1609</v>
      </c>
      <c r="C157" s="417" t="s">
        <v>1400</v>
      </c>
      <c r="D157" s="416" t="s">
        <v>1610</v>
      </c>
      <c r="E157" s="417" t="s">
        <v>1416</v>
      </c>
      <c r="F157" s="418">
        <v>234.95</v>
      </c>
      <c r="G157" s="419">
        <v>1.78</v>
      </c>
      <c r="H157" s="418">
        <v>31.26</v>
      </c>
      <c r="I157" s="419">
        <v>2.34</v>
      </c>
      <c r="J157" s="419">
        <v>549.78</v>
      </c>
    </row>
    <row r="158" spans="1:10" s="237" customFormat="1" ht="15" customHeight="1">
      <c r="A158" s="241" t="s">
        <v>1611</v>
      </c>
      <c r="B158" s="242" t="s">
        <v>58</v>
      </c>
      <c r="C158" s="242"/>
      <c r="D158" s="242"/>
      <c r="E158" s="242"/>
      <c r="F158" s="242"/>
      <c r="G158" s="242"/>
      <c r="H158" s="242"/>
      <c r="I158" s="242"/>
      <c r="J158" s="243">
        <v>116384.54</v>
      </c>
    </row>
    <row r="159" spans="1:10" s="237" customFormat="1" ht="28.5">
      <c r="A159" s="416" t="s">
        <v>507</v>
      </c>
      <c r="B159" s="417" t="s">
        <v>1612</v>
      </c>
      <c r="C159" s="417" t="s">
        <v>1400</v>
      </c>
      <c r="D159" s="416" t="s">
        <v>1613</v>
      </c>
      <c r="E159" s="417" t="s">
        <v>1416</v>
      </c>
      <c r="F159" s="418">
        <v>314.14</v>
      </c>
      <c r="G159" s="419">
        <v>5.99</v>
      </c>
      <c r="H159" s="418">
        <v>31.26</v>
      </c>
      <c r="I159" s="419">
        <v>7.86</v>
      </c>
      <c r="J159" s="419">
        <v>2469.14</v>
      </c>
    </row>
    <row r="160" spans="1:10" s="237" customFormat="1" ht="28.5">
      <c r="A160" s="416" t="s">
        <v>509</v>
      </c>
      <c r="B160" s="417" t="s">
        <v>1614</v>
      </c>
      <c r="C160" s="417" t="s">
        <v>1400</v>
      </c>
      <c r="D160" s="416" t="s">
        <v>1615</v>
      </c>
      <c r="E160" s="417" t="s">
        <v>1416</v>
      </c>
      <c r="F160" s="418">
        <v>72.819999999999993</v>
      </c>
      <c r="G160" s="419">
        <v>11.9</v>
      </c>
      <c r="H160" s="418">
        <v>31.26</v>
      </c>
      <c r="I160" s="419">
        <v>15.62</v>
      </c>
      <c r="J160" s="419">
        <v>1137.45</v>
      </c>
    </row>
    <row r="161" spans="1:10" s="237" customFormat="1" ht="28.5">
      <c r="A161" s="416" t="s">
        <v>511</v>
      </c>
      <c r="B161" s="417" t="s">
        <v>1616</v>
      </c>
      <c r="C161" s="417" t="s">
        <v>1400</v>
      </c>
      <c r="D161" s="416" t="s">
        <v>1617</v>
      </c>
      <c r="E161" s="417" t="s">
        <v>1416</v>
      </c>
      <c r="F161" s="418">
        <v>60.35</v>
      </c>
      <c r="G161" s="419">
        <v>18.18</v>
      </c>
      <c r="H161" s="418">
        <v>31.26</v>
      </c>
      <c r="I161" s="419">
        <v>23.86</v>
      </c>
      <c r="J161" s="419">
        <v>1439.95</v>
      </c>
    </row>
    <row r="162" spans="1:10" s="237" customFormat="1" ht="28.5">
      <c r="A162" s="416" t="s">
        <v>513</v>
      </c>
      <c r="B162" s="417" t="s">
        <v>1618</v>
      </c>
      <c r="C162" s="417" t="s">
        <v>1400</v>
      </c>
      <c r="D162" s="416" t="s">
        <v>1619</v>
      </c>
      <c r="E162" s="417" t="s">
        <v>1416</v>
      </c>
      <c r="F162" s="418">
        <v>41.91</v>
      </c>
      <c r="G162" s="419">
        <v>20.13</v>
      </c>
      <c r="H162" s="418">
        <v>31.26</v>
      </c>
      <c r="I162" s="419">
        <v>26.42</v>
      </c>
      <c r="J162" s="419">
        <v>1107.26</v>
      </c>
    </row>
    <row r="163" spans="1:10" s="237" customFormat="1" ht="28.5">
      <c r="A163" s="416" t="s">
        <v>515</v>
      </c>
      <c r="B163" s="417" t="s">
        <v>1620</v>
      </c>
      <c r="C163" s="417" t="s">
        <v>1400</v>
      </c>
      <c r="D163" s="416" t="s">
        <v>1621</v>
      </c>
      <c r="E163" s="417" t="s">
        <v>1416</v>
      </c>
      <c r="F163" s="418">
        <v>20.67</v>
      </c>
      <c r="G163" s="419">
        <v>32.200000000000003</v>
      </c>
      <c r="H163" s="418">
        <v>31.26</v>
      </c>
      <c r="I163" s="419">
        <v>42.27</v>
      </c>
      <c r="J163" s="419">
        <v>873.72</v>
      </c>
    </row>
    <row r="164" spans="1:10" s="237" customFormat="1" ht="28.5">
      <c r="A164" s="416" t="s">
        <v>517</v>
      </c>
      <c r="B164" s="417" t="s">
        <v>1622</v>
      </c>
      <c r="C164" s="417" t="s">
        <v>1400</v>
      </c>
      <c r="D164" s="416" t="s">
        <v>1623</v>
      </c>
      <c r="E164" s="417" t="s">
        <v>1416</v>
      </c>
      <c r="F164" s="418">
        <v>43.84</v>
      </c>
      <c r="G164" s="419">
        <v>52.39</v>
      </c>
      <c r="H164" s="418">
        <v>31.26</v>
      </c>
      <c r="I164" s="419">
        <v>68.77</v>
      </c>
      <c r="J164" s="419">
        <v>3014.88</v>
      </c>
    </row>
    <row r="165" spans="1:10" s="237" customFormat="1" ht="42.75">
      <c r="A165" s="416" t="s">
        <v>519</v>
      </c>
      <c r="B165" s="417" t="s">
        <v>1023</v>
      </c>
      <c r="C165" s="417" t="s">
        <v>1396</v>
      </c>
      <c r="D165" s="416" t="s">
        <v>520</v>
      </c>
      <c r="E165" s="417" t="s">
        <v>1416</v>
      </c>
      <c r="F165" s="418">
        <v>11.08</v>
      </c>
      <c r="G165" s="419">
        <v>41.21</v>
      </c>
      <c r="H165" s="418">
        <v>31.26</v>
      </c>
      <c r="I165" s="419">
        <v>54.09</v>
      </c>
      <c r="J165" s="419">
        <v>599.32000000000005</v>
      </c>
    </row>
    <row r="166" spans="1:10" s="237" customFormat="1" ht="42.75">
      <c r="A166" s="416" t="s">
        <v>521</v>
      </c>
      <c r="B166" s="417" t="s">
        <v>1024</v>
      </c>
      <c r="C166" s="417" t="s">
        <v>1396</v>
      </c>
      <c r="D166" s="416" t="s">
        <v>1624</v>
      </c>
      <c r="E166" s="417" t="s">
        <v>1416</v>
      </c>
      <c r="F166" s="418">
        <v>2.5499999999999998</v>
      </c>
      <c r="G166" s="419">
        <v>45.2</v>
      </c>
      <c r="H166" s="418">
        <v>31.26</v>
      </c>
      <c r="I166" s="419">
        <v>59.33</v>
      </c>
      <c r="J166" s="419">
        <v>151.29</v>
      </c>
    </row>
    <row r="167" spans="1:10" s="237" customFormat="1" ht="42.75">
      <c r="A167" s="416" t="s">
        <v>523</v>
      </c>
      <c r="B167" s="417" t="s">
        <v>1625</v>
      </c>
      <c r="C167" s="417" t="s">
        <v>1400</v>
      </c>
      <c r="D167" s="416" t="s">
        <v>1626</v>
      </c>
      <c r="E167" s="417" t="s">
        <v>1403</v>
      </c>
      <c r="F167" s="418">
        <v>37</v>
      </c>
      <c r="G167" s="419">
        <v>15.44</v>
      </c>
      <c r="H167" s="418">
        <v>31.26</v>
      </c>
      <c r="I167" s="419">
        <v>20.27</v>
      </c>
      <c r="J167" s="419">
        <v>749.99</v>
      </c>
    </row>
    <row r="168" spans="1:10" s="237" customFormat="1" ht="42.75">
      <c r="A168" s="416" t="s">
        <v>526</v>
      </c>
      <c r="B168" s="417" t="s">
        <v>1627</v>
      </c>
      <c r="C168" s="417" t="s">
        <v>1400</v>
      </c>
      <c r="D168" s="416" t="s">
        <v>1628</v>
      </c>
      <c r="E168" s="417" t="s">
        <v>1403</v>
      </c>
      <c r="F168" s="418">
        <v>10</v>
      </c>
      <c r="G168" s="419">
        <v>19.579999999999998</v>
      </c>
      <c r="H168" s="418">
        <v>31.26</v>
      </c>
      <c r="I168" s="419">
        <v>25.7</v>
      </c>
      <c r="J168" s="419">
        <v>257</v>
      </c>
    </row>
    <row r="169" spans="1:10" s="237" customFormat="1" ht="42.75">
      <c r="A169" s="416" t="s">
        <v>527</v>
      </c>
      <c r="B169" s="417" t="s">
        <v>1629</v>
      </c>
      <c r="C169" s="417" t="s">
        <v>1400</v>
      </c>
      <c r="D169" s="416" t="s">
        <v>1630</v>
      </c>
      <c r="E169" s="417" t="s">
        <v>1403</v>
      </c>
      <c r="F169" s="418">
        <v>3</v>
      </c>
      <c r="G169" s="419">
        <v>40.03</v>
      </c>
      <c r="H169" s="418">
        <v>31.26</v>
      </c>
      <c r="I169" s="419">
        <v>52.54</v>
      </c>
      <c r="J169" s="419">
        <v>157.62</v>
      </c>
    </row>
    <row r="170" spans="1:10" s="237" customFormat="1" ht="42.75">
      <c r="A170" s="416" t="s">
        <v>529</v>
      </c>
      <c r="B170" s="417" t="s">
        <v>1631</v>
      </c>
      <c r="C170" s="417" t="s">
        <v>1400</v>
      </c>
      <c r="D170" s="416" t="s">
        <v>1632</v>
      </c>
      <c r="E170" s="417" t="s">
        <v>1403</v>
      </c>
      <c r="F170" s="418">
        <v>4</v>
      </c>
      <c r="G170" s="419">
        <v>65.98</v>
      </c>
      <c r="H170" s="418">
        <v>31.26</v>
      </c>
      <c r="I170" s="419">
        <v>86.61</v>
      </c>
      <c r="J170" s="419">
        <v>346.44</v>
      </c>
    </row>
    <row r="171" spans="1:10" s="237" customFormat="1" ht="28.5">
      <c r="A171" s="416" t="s">
        <v>530</v>
      </c>
      <c r="B171" s="417" t="s">
        <v>1633</v>
      </c>
      <c r="C171" s="417" t="s">
        <v>1400</v>
      </c>
      <c r="D171" s="416" t="s">
        <v>1634</v>
      </c>
      <c r="E171" s="417" t="s">
        <v>1403</v>
      </c>
      <c r="F171" s="418">
        <v>3</v>
      </c>
      <c r="G171" s="419">
        <v>8.39</v>
      </c>
      <c r="H171" s="418">
        <v>31.26</v>
      </c>
      <c r="I171" s="419">
        <v>11.01</v>
      </c>
      <c r="J171" s="419">
        <v>33.03</v>
      </c>
    </row>
    <row r="172" spans="1:10" s="237" customFormat="1" ht="28.5">
      <c r="A172" s="416" t="s">
        <v>532</v>
      </c>
      <c r="B172" s="417" t="s">
        <v>1635</v>
      </c>
      <c r="C172" s="417" t="s">
        <v>1400</v>
      </c>
      <c r="D172" s="416" t="s">
        <v>1636</v>
      </c>
      <c r="E172" s="417" t="s">
        <v>1403</v>
      </c>
      <c r="F172" s="418">
        <v>7</v>
      </c>
      <c r="G172" s="419">
        <v>13.08</v>
      </c>
      <c r="H172" s="418">
        <v>31.26</v>
      </c>
      <c r="I172" s="419">
        <v>17.170000000000002</v>
      </c>
      <c r="J172" s="419">
        <v>120.19</v>
      </c>
    </row>
    <row r="173" spans="1:10" s="237" customFormat="1" ht="42.75">
      <c r="A173" s="416" t="s">
        <v>534</v>
      </c>
      <c r="B173" s="417" t="s">
        <v>1637</v>
      </c>
      <c r="C173" s="417" t="s">
        <v>1400</v>
      </c>
      <c r="D173" s="416" t="s">
        <v>1638</v>
      </c>
      <c r="E173" s="417" t="s">
        <v>1403</v>
      </c>
      <c r="F173" s="418">
        <v>4</v>
      </c>
      <c r="G173" s="419">
        <v>27.93</v>
      </c>
      <c r="H173" s="418">
        <v>31.26</v>
      </c>
      <c r="I173" s="419">
        <v>36.659999999999997</v>
      </c>
      <c r="J173" s="419">
        <v>146.63999999999999</v>
      </c>
    </row>
    <row r="174" spans="1:10" s="237" customFormat="1" ht="28.5">
      <c r="A174" s="416" t="s">
        <v>536</v>
      </c>
      <c r="B174" s="417" t="s">
        <v>1639</v>
      </c>
      <c r="C174" s="417" t="s">
        <v>1400</v>
      </c>
      <c r="D174" s="416" t="s">
        <v>1640</v>
      </c>
      <c r="E174" s="417" t="s">
        <v>1403</v>
      </c>
      <c r="F174" s="418">
        <v>3</v>
      </c>
      <c r="G174" s="419">
        <v>24.74</v>
      </c>
      <c r="H174" s="418">
        <v>31.26</v>
      </c>
      <c r="I174" s="419">
        <v>32.47</v>
      </c>
      <c r="J174" s="419">
        <v>97.41</v>
      </c>
    </row>
    <row r="175" spans="1:10" s="237" customFormat="1" ht="28.5">
      <c r="A175" s="416" t="s">
        <v>538</v>
      </c>
      <c r="B175" s="417" t="s">
        <v>1641</v>
      </c>
      <c r="C175" s="417" t="s">
        <v>1400</v>
      </c>
      <c r="D175" s="416" t="s">
        <v>1642</v>
      </c>
      <c r="E175" s="417" t="s">
        <v>1403</v>
      </c>
      <c r="F175" s="418">
        <v>1</v>
      </c>
      <c r="G175" s="419">
        <v>86.9</v>
      </c>
      <c r="H175" s="418">
        <v>31.26</v>
      </c>
      <c r="I175" s="419">
        <v>114.06</v>
      </c>
      <c r="J175" s="419">
        <v>114.06</v>
      </c>
    </row>
    <row r="176" spans="1:10" s="237" customFormat="1" ht="42.75">
      <c r="A176" s="416" t="s">
        <v>540</v>
      </c>
      <c r="B176" s="417" t="s">
        <v>1643</v>
      </c>
      <c r="C176" s="417" t="s">
        <v>1400</v>
      </c>
      <c r="D176" s="416" t="s">
        <v>1644</v>
      </c>
      <c r="E176" s="417" t="s">
        <v>1403</v>
      </c>
      <c r="F176" s="418">
        <v>17</v>
      </c>
      <c r="G176" s="419">
        <v>24.65</v>
      </c>
      <c r="H176" s="418">
        <v>31.26</v>
      </c>
      <c r="I176" s="419">
        <v>32.36</v>
      </c>
      <c r="J176" s="419">
        <v>550.12</v>
      </c>
    </row>
    <row r="177" spans="1:10" s="237" customFormat="1" ht="42.75">
      <c r="A177" s="416" t="s">
        <v>542</v>
      </c>
      <c r="B177" s="417" t="s">
        <v>1645</v>
      </c>
      <c r="C177" s="417" t="s">
        <v>1400</v>
      </c>
      <c r="D177" s="416" t="s">
        <v>1646</v>
      </c>
      <c r="E177" s="417" t="s">
        <v>1403</v>
      </c>
      <c r="F177" s="418">
        <v>1</v>
      </c>
      <c r="G177" s="419">
        <v>27.54</v>
      </c>
      <c r="H177" s="418">
        <v>31.26</v>
      </c>
      <c r="I177" s="419">
        <v>36.15</v>
      </c>
      <c r="J177" s="419">
        <v>36.15</v>
      </c>
    </row>
    <row r="178" spans="1:10" s="237" customFormat="1" ht="42.75">
      <c r="A178" s="416" t="s">
        <v>543</v>
      </c>
      <c r="B178" s="417" t="s">
        <v>1025</v>
      </c>
      <c r="C178" s="417" t="s">
        <v>1396</v>
      </c>
      <c r="D178" s="416" t="s">
        <v>541</v>
      </c>
      <c r="E178" s="417" t="s">
        <v>1403</v>
      </c>
      <c r="F178" s="418">
        <v>1</v>
      </c>
      <c r="G178" s="419">
        <v>49.2</v>
      </c>
      <c r="H178" s="418">
        <v>31.26</v>
      </c>
      <c r="I178" s="419">
        <v>64.58</v>
      </c>
      <c r="J178" s="419">
        <v>64.58</v>
      </c>
    </row>
    <row r="179" spans="1:10" s="237" customFormat="1" ht="42.75">
      <c r="A179" s="416" t="s">
        <v>545</v>
      </c>
      <c r="B179" s="417" t="s">
        <v>1647</v>
      </c>
      <c r="C179" s="417" t="s">
        <v>1400</v>
      </c>
      <c r="D179" s="416" t="s">
        <v>1648</v>
      </c>
      <c r="E179" s="417" t="s">
        <v>1403</v>
      </c>
      <c r="F179" s="418">
        <v>1</v>
      </c>
      <c r="G179" s="419">
        <v>80.489999999999995</v>
      </c>
      <c r="H179" s="418">
        <v>31.26</v>
      </c>
      <c r="I179" s="419">
        <v>105.65</v>
      </c>
      <c r="J179" s="419">
        <v>105.65</v>
      </c>
    </row>
    <row r="180" spans="1:10" s="237" customFormat="1" ht="57">
      <c r="A180" s="416" t="s">
        <v>547</v>
      </c>
      <c r="B180" s="417" t="s">
        <v>1026</v>
      </c>
      <c r="C180" s="417" t="s">
        <v>1396</v>
      </c>
      <c r="D180" s="416" t="s">
        <v>1649</v>
      </c>
      <c r="E180" s="417" t="s">
        <v>1403</v>
      </c>
      <c r="F180" s="418">
        <v>1</v>
      </c>
      <c r="G180" s="419">
        <v>41.85</v>
      </c>
      <c r="H180" s="418">
        <v>31.26</v>
      </c>
      <c r="I180" s="419">
        <v>54.93</v>
      </c>
      <c r="J180" s="419">
        <v>54.93</v>
      </c>
    </row>
    <row r="181" spans="1:10" s="237" customFormat="1" ht="57">
      <c r="A181" s="416" t="s">
        <v>548</v>
      </c>
      <c r="B181" s="417" t="s">
        <v>1109</v>
      </c>
      <c r="C181" s="417" t="s">
        <v>1396</v>
      </c>
      <c r="D181" s="416" t="s">
        <v>1650</v>
      </c>
      <c r="E181" s="417" t="s">
        <v>1403</v>
      </c>
      <c r="F181" s="418">
        <v>2</v>
      </c>
      <c r="G181" s="419">
        <v>47.57</v>
      </c>
      <c r="H181" s="418">
        <v>31.26</v>
      </c>
      <c r="I181" s="419">
        <v>62.44</v>
      </c>
      <c r="J181" s="419">
        <v>124.88</v>
      </c>
    </row>
    <row r="182" spans="1:10" s="237" customFormat="1" ht="42.75">
      <c r="A182" s="416" t="s">
        <v>550</v>
      </c>
      <c r="B182" s="417" t="s">
        <v>674</v>
      </c>
      <c r="C182" s="417" t="s">
        <v>1400</v>
      </c>
      <c r="D182" s="416" t="s">
        <v>1651</v>
      </c>
      <c r="E182" s="417" t="s">
        <v>1403</v>
      </c>
      <c r="F182" s="418">
        <v>125</v>
      </c>
      <c r="G182" s="419">
        <v>5.95</v>
      </c>
      <c r="H182" s="418">
        <v>31.26</v>
      </c>
      <c r="I182" s="419">
        <v>7.81</v>
      </c>
      <c r="J182" s="419">
        <v>976.25</v>
      </c>
    </row>
    <row r="183" spans="1:10" s="237" customFormat="1" ht="42.75">
      <c r="A183" s="416" t="s">
        <v>552</v>
      </c>
      <c r="B183" s="417" t="s">
        <v>1652</v>
      </c>
      <c r="C183" s="417" t="s">
        <v>1400</v>
      </c>
      <c r="D183" s="416" t="s">
        <v>1653</v>
      </c>
      <c r="E183" s="417" t="s">
        <v>1403</v>
      </c>
      <c r="F183" s="418">
        <v>20</v>
      </c>
      <c r="G183" s="419">
        <v>14.65</v>
      </c>
      <c r="H183" s="418">
        <v>31.26</v>
      </c>
      <c r="I183" s="419">
        <v>19.23</v>
      </c>
      <c r="J183" s="419">
        <v>384.6</v>
      </c>
    </row>
    <row r="184" spans="1:10" s="237" customFormat="1" ht="42.75">
      <c r="A184" s="416" t="s">
        <v>554</v>
      </c>
      <c r="B184" s="417" t="s">
        <v>1654</v>
      </c>
      <c r="C184" s="417" t="s">
        <v>1400</v>
      </c>
      <c r="D184" s="416" t="s">
        <v>1655</v>
      </c>
      <c r="E184" s="417" t="s">
        <v>1403</v>
      </c>
      <c r="F184" s="418">
        <v>12</v>
      </c>
      <c r="G184" s="419">
        <v>19.57</v>
      </c>
      <c r="H184" s="418">
        <v>31.26</v>
      </c>
      <c r="I184" s="419">
        <v>25.69</v>
      </c>
      <c r="J184" s="419">
        <v>308.27999999999997</v>
      </c>
    </row>
    <row r="185" spans="1:10" s="237" customFormat="1" ht="42.75">
      <c r="A185" s="416" t="s">
        <v>556</v>
      </c>
      <c r="B185" s="417" t="s">
        <v>1656</v>
      </c>
      <c r="C185" s="417" t="s">
        <v>1400</v>
      </c>
      <c r="D185" s="416" t="s">
        <v>1657</v>
      </c>
      <c r="E185" s="417" t="s">
        <v>1403</v>
      </c>
      <c r="F185" s="418">
        <v>7</v>
      </c>
      <c r="G185" s="419">
        <v>15.69</v>
      </c>
      <c r="H185" s="418">
        <v>31.26</v>
      </c>
      <c r="I185" s="419">
        <v>20.59</v>
      </c>
      <c r="J185" s="419">
        <v>144.13</v>
      </c>
    </row>
    <row r="186" spans="1:10" s="237" customFormat="1" ht="42.75">
      <c r="A186" s="416" t="s">
        <v>558</v>
      </c>
      <c r="B186" s="417" t="s">
        <v>1658</v>
      </c>
      <c r="C186" s="417" t="s">
        <v>1400</v>
      </c>
      <c r="D186" s="416" t="s">
        <v>1659</v>
      </c>
      <c r="E186" s="417" t="s">
        <v>1403</v>
      </c>
      <c r="F186" s="418">
        <v>2</v>
      </c>
      <c r="G186" s="419">
        <v>44.84</v>
      </c>
      <c r="H186" s="418">
        <v>31.26</v>
      </c>
      <c r="I186" s="419">
        <v>58.86</v>
      </c>
      <c r="J186" s="419">
        <v>117.72</v>
      </c>
    </row>
    <row r="187" spans="1:10" s="237" customFormat="1" ht="42.75">
      <c r="A187" s="416" t="s">
        <v>560</v>
      </c>
      <c r="B187" s="417" t="s">
        <v>1660</v>
      </c>
      <c r="C187" s="417" t="s">
        <v>1400</v>
      </c>
      <c r="D187" s="416" t="s">
        <v>1661</v>
      </c>
      <c r="E187" s="417" t="s">
        <v>1403</v>
      </c>
      <c r="F187" s="418">
        <v>6</v>
      </c>
      <c r="G187" s="419">
        <v>111.96</v>
      </c>
      <c r="H187" s="418">
        <v>31.26</v>
      </c>
      <c r="I187" s="419">
        <v>146.96</v>
      </c>
      <c r="J187" s="419">
        <v>881.76</v>
      </c>
    </row>
    <row r="188" spans="1:10" s="237" customFormat="1" ht="42.75">
      <c r="A188" s="416" t="s">
        <v>562</v>
      </c>
      <c r="B188" s="417" t="s">
        <v>1662</v>
      </c>
      <c r="C188" s="417" t="s">
        <v>1400</v>
      </c>
      <c r="D188" s="416" t="s">
        <v>1663</v>
      </c>
      <c r="E188" s="417" t="s">
        <v>1403</v>
      </c>
      <c r="F188" s="418">
        <v>70</v>
      </c>
      <c r="G188" s="419">
        <v>18.16</v>
      </c>
      <c r="H188" s="418">
        <v>31.26</v>
      </c>
      <c r="I188" s="419">
        <v>23.84</v>
      </c>
      <c r="J188" s="419">
        <v>1668.8</v>
      </c>
    </row>
    <row r="189" spans="1:10" s="237" customFormat="1" ht="42.75">
      <c r="A189" s="416" t="s">
        <v>564</v>
      </c>
      <c r="B189" s="417" t="s">
        <v>1664</v>
      </c>
      <c r="C189" s="417" t="s">
        <v>1400</v>
      </c>
      <c r="D189" s="416" t="s">
        <v>1665</v>
      </c>
      <c r="E189" s="417" t="s">
        <v>1403</v>
      </c>
      <c r="F189" s="418">
        <v>9</v>
      </c>
      <c r="G189" s="419">
        <v>13.77</v>
      </c>
      <c r="H189" s="418">
        <v>31.26</v>
      </c>
      <c r="I189" s="419">
        <v>18.07</v>
      </c>
      <c r="J189" s="419">
        <v>162.63</v>
      </c>
    </row>
    <row r="190" spans="1:10" s="237" customFormat="1" ht="42.75">
      <c r="A190" s="416" t="s">
        <v>566</v>
      </c>
      <c r="B190" s="417" t="s">
        <v>1666</v>
      </c>
      <c r="C190" s="417" t="s">
        <v>1400</v>
      </c>
      <c r="D190" s="416" t="s">
        <v>1667</v>
      </c>
      <c r="E190" s="417" t="s">
        <v>1403</v>
      </c>
      <c r="F190" s="418">
        <v>2</v>
      </c>
      <c r="G190" s="419">
        <v>8.1</v>
      </c>
      <c r="H190" s="418">
        <v>31.26</v>
      </c>
      <c r="I190" s="419">
        <v>10.63</v>
      </c>
      <c r="J190" s="419">
        <v>21.26</v>
      </c>
    </row>
    <row r="191" spans="1:10" s="237" customFormat="1" ht="28.5">
      <c r="A191" s="416" t="s">
        <v>567</v>
      </c>
      <c r="B191" s="417" t="s">
        <v>1668</v>
      </c>
      <c r="C191" s="417" t="s">
        <v>1400</v>
      </c>
      <c r="D191" s="416" t="s">
        <v>1669</v>
      </c>
      <c r="E191" s="417" t="s">
        <v>1403</v>
      </c>
      <c r="F191" s="418">
        <v>1</v>
      </c>
      <c r="G191" s="419">
        <v>12.74</v>
      </c>
      <c r="H191" s="418">
        <v>31.26</v>
      </c>
      <c r="I191" s="419">
        <v>16.72</v>
      </c>
      <c r="J191" s="419">
        <v>16.72</v>
      </c>
    </row>
    <row r="192" spans="1:10" s="237" customFormat="1" ht="42.75">
      <c r="A192" s="416" t="s">
        <v>569</v>
      </c>
      <c r="B192" s="417" t="s">
        <v>1670</v>
      </c>
      <c r="C192" s="417" t="s">
        <v>1400</v>
      </c>
      <c r="D192" s="416" t="s">
        <v>565</v>
      </c>
      <c r="E192" s="417" t="s">
        <v>1403</v>
      </c>
      <c r="F192" s="418">
        <v>2</v>
      </c>
      <c r="G192" s="419">
        <v>52.64</v>
      </c>
      <c r="H192" s="418">
        <v>31.26</v>
      </c>
      <c r="I192" s="419">
        <v>69.099999999999994</v>
      </c>
      <c r="J192" s="419">
        <v>138.19999999999999</v>
      </c>
    </row>
    <row r="193" spans="1:10" s="237" customFormat="1" ht="42.75">
      <c r="A193" s="416" t="s">
        <v>571</v>
      </c>
      <c r="B193" s="417" t="s">
        <v>1671</v>
      </c>
      <c r="C193" s="417" t="s">
        <v>1400</v>
      </c>
      <c r="D193" s="416" t="s">
        <v>1672</v>
      </c>
      <c r="E193" s="417" t="s">
        <v>1403</v>
      </c>
      <c r="F193" s="418">
        <v>2</v>
      </c>
      <c r="G193" s="419">
        <v>64.97</v>
      </c>
      <c r="H193" s="418">
        <v>31.26</v>
      </c>
      <c r="I193" s="419">
        <v>85.28</v>
      </c>
      <c r="J193" s="419">
        <v>170.56</v>
      </c>
    </row>
    <row r="194" spans="1:10" s="237" customFormat="1" ht="42.75">
      <c r="A194" s="416" t="s">
        <v>573</v>
      </c>
      <c r="B194" s="417" t="s">
        <v>1673</v>
      </c>
      <c r="C194" s="417" t="s">
        <v>1400</v>
      </c>
      <c r="D194" s="416" t="s">
        <v>1674</v>
      </c>
      <c r="E194" s="417" t="s">
        <v>1403</v>
      </c>
      <c r="F194" s="418">
        <v>2</v>
      </c>
      <c r="G194" s="419">
        <v>7.4</v>
      </c>
      <c r="H194" s="418">
        <v>31.26</v>
      </c>
      <c r="I194" s="419">
        <v>9.7100000000000009</v>
      </c>
      <c r="J194" s="419">
        <v>19.420000000000002</v>
      </c>
    </row>
    <row r="195" spans="1:10" s="237" customFormat="1" ht="42.75">
      <c r="A195" s="416" t="s">
        <v>575</v>
      </c>
      <c r="B195" s="417" t="s">
        <v>1675</v>
      </c>
      <c r="C195" s="417" t="s">
        <v>1400</v>
      </c>
      <c r="D195" s="416" t="s">
        <v>1676</v>
      </c>
      <c r="E195" s="417" t="s">
        <v>1403</v>
      </c>
      <c r="F195" s="418">
        <v>20</v>
      </c>
      <c r="G195" s="419">
        <v>9.7100000000000009</v>
      </c>
      <c r="H195" s="418">
        <v>31.26</v>
      </c>
      <c r="I195" s="419">
        <v>12.75</v>
      </c>
      <c r="J195" s="419">
        <v>255</v>
      </c>
    </row>
    <row r="196" spans="1:10" s="237" customFormat="1" ht="71.25">
      <c r="A196" s="416" t="s">
        <v>577</v>
      </c>
      <c r="B196" s="417" t="s">
        <v>1677</v>
      </c>
      <c r="C196" s="417" t="s">
        <v>1400</v>
      </c>
      <c r="D196" s="416" t="s">
        <v>1678</v>
      </c>
      <c r="E196" s="417" t="s">
        <v>1403</v>
      </c>
      <c r="F196" s="418">
        <v>8</v>
      </c>
      <c r="G196" s="419">
        <v>13.63</v>
      </c>
      <c r="H196" s="418">
        <v>31.26</v>
      </c>
      <c r="I196" s="419">
        <v>17.89</v>
      </c>
      <c r="J196" s="419">
        <v>143.12</v>
      </c>
    </row>
    <row r="197" spans="1:10" s="237" customFormat="1" ht="42.75">
      <c r="A197" s="416" t="s">
        <v>579</v>
      </c>
      <c r="B197" s="417" t="s">
        <v>1679</v>
      </c>
      <c r="C197" s="417" t="s">
        <v>1400</v>
      </c>
      <c r="D197" s="416" t="s">
        <v>1680</v>
      </c>
      <c r="E197" s="417" t="s">
        <v>1403</v>
      </c>
      <c r="F197" s="418">
        <v>4</v>
      </c>
      <c r="G197" s="419">
        <v>11.36</v>
      </c>
      <c r="H197" s="418">
        <v>31.26</v>
      </c>
      <c r="I197" s="419">
        <v>14.91</v>
      </c>
      <c r="J197" s="419">
        <v>59.64</v>
      </c>
    </row>
    <row r="198" spans="1:10" s="237" customFormat="1" ht="42.75">
      <c r="A198" s="416" t="s">
        <v>581</v>
      </c>
      <c r="B198" s="417" t="s">
        <v>1681</v>
      </c>
      <c r="C198" s="417" t="s">
        <v>1400</v>
      </c>
      <c r="D198" s="416" t="s">
        <v>1682</v>
      </c>
      <c r="E198" s="417" t="s">
        <v>1403</v>
      </c>
      <c r="F198" s="418">
        <v>19</v>
      </c>
      <c r="G198" s="419">
        <v>5.35</v>
      </c>
      <c r="H198" s="418">
        <v>31.26</v>
      </c>
      <c r="I198" s="419">
        <v>7.02</v>
      </c>
      <c r="J198" s="419">
        <v>133.38</v>
      </c>
    </row>
    <row r="199" spans="1:10" s="237" customFormat="1" ht="42.75">
      <c r="A199" s="416" t="s">
        <v>582</v>
      </c>
      <c r="B199" s="417" t="s">
        <v>1683</v>
      </c>
      <c r="C199" s="417" t="s">
        <v>1400</v>
      </c>
      <c r="D199" s="416" t="s">
        <v>1684</v>
      </c>
      <c r="E199" s="417" t="s">
        <v>1403</v>
      </c>
      <c r="F199" s="418">
        <v>11</v>
      </c>
      <c r="G199" s="419">
        <v>7.67</v>
      </c>
      <c r="H199" s="418">
        <v>31.26</v>
      </c>
      <c r="I199" s="419">
        <v>10.07</v>
      </c>
      <c r="J199" s="419">
        <v>110.77</v>
      </c>
    </row>
    <row r="200" spans="1:10" s="237" customFormat="1" ht="42.75">
      <c r="A200" s="416" t="s">
        <v>584</v>
      </c>
      <c r="B200" s="417" t="s">
        <v>1685</v>
      </c>
      <c r="C200" s="417" t="s">
        <v>1400</v>
      </c>
      <c r="D200" s="416" t="s">
        <v>1686</v>
      </c>
      <c r="E200" s="417" t="s">
        <v>1403</v>
      </c>
      <c r="F200" s="418">
        <v>5</v>
      </c>
      <c r="G200" s="419">
        <v>10.85</v>
      </c>
      <c r="H200" s="418">
        <v>31.26</v>
      </c>
      <c r="I200" s="419">
        <v>14.24</v>
      </c>
      <c r="J200" s="419">
        <v>71.2</v>
      </c>
    </row>
    <row r="201" spans="1:10" s="237" customFormat="1" ht="42.75">
      <c r="A201" s="416" t="s">
        <v>586</v>
      </c>
      <c r="B201" s="417" t="s">
        <v>1027</v>
      </c>
      <c r="C201" s="417" t="s">
        <v>1396</v>
      </c>
      <c r="D201" s="416" t="s">
        <v>580</v>
      </c>
      <c r="E201" s="417" t="s">
        <v>1403</v>
      </c>
      <c r="F201" s="418">
        <v>1</v>
      </c>
      <c r="G201" s="419">
        <v>16.05</v>
      </c>
      <c r="H201" s="418">
        <v>31.26</v>
      </c>
      <c r="I201" s="419">
        <v>21.07</v>
      </c>
      <c r="J201" s="419">
        <v>21.07</v>
      </c>
    </row>
    <row r="202" spans="1:10" s="237" customFormat="1" ht="42.75">
      <c r="A202" s="416" t="s">
        <v>588</v>
      </c>
      <c r="B202" s="417" t="s">
        <v>1687</v>
      </c>
      <c r="C202" s="417" t="s">
        <v>1400</v>
      </c>
      <c r="D202" s="416" t="s">
        <v>1688</v>
      </c>
      <c r="E202" s="417" t="s">
        <v>1403</v>
      </c>
      <c r="F202" s="418">
        <v>1</v>
      </c>
      <c r="G202" s="419">
        <v>31.29</v>
      </c>
      <c r="H202" s="418">
        <v>31.26</v>
      </c>
      <c r="I202" s="419">
        <v>41.07</v>
      </c>
      <c r="J202" s="419">
        <v>41.07</v>
      </c>
    </row>
    <row r="203" spans="1:10" s="237" customFormat="1" ht="42.75">
      <c r="A203" s="416" t="s">
        <v>590</v>
      </c>
      <c r="B203" s="417" t="s">
        <v>1689</v>
      </c>
      <c r="C203" s="417" t="s">
        <v>1400</v>
      </c>
      <c r="D203" s="416" t="s">
        <v>1690</v>
      </c>
      <c r="E203" s="417" t="s">
        <v>1403</v>
      </c>
      <c r="F203" s="418">
        <v>4</v>
      </c>
      <c r="G203" s="419">
        <v>64.819999999999993</v>
      </c>
      <c r="H203" s="418">
        <v>31.26</v>
      </c>
      <c r="I203" s="419">
        <v>85.08</v>
      </c>
      <c r="J203" s="419">
        <v>340.32</v>
      </c>
    </row>
    <row r="204" spans="1:10" s="237" customFormat="1" ht="42.75">
      <c r="A204" s="416" t="s">
        <v>592</v>
      </c>
      <c r="B204" s="417" t="s">
        <v>1691</v>
      </c>
      <c r="C204" s="417" t="s">
        <v>1400</v>
      </c>
      <c r="D204" s="416" t="s">
        <v>1692</v>
      </c>
      <c r="E204" s="417" t="s">
        <v>1403</v>
      </c>
      <c r="F204" s="418">
        <v>12</v>
      </c>
      <c r="G204" s="419">
        <v>78.7</v>
      </c>
      <c r="H204" s="418">
        <v>31.26</v>
      </c>
      <c r="I204" s="419">
        <v>103.3</v>
      </c>
      <c r="J204" s="419">
        <v>1239.5999999999999</v>
      </c>
    </row>
    <row r="205" spans="1:10" s="237" customFormat="1" ht="42.75">
      <c r="A205" s="416" t="s">
        <v>594</v>
      </c>
      <c r="B205" s="417" t="s">
        <v>1693</v>
      </c>
      <c r="C205" s="417" t="s">
        <v>1400</v>
      </c>
      <c r="D205" s="416" t="s">
        <v>1694</v>
      </c>
      <c r="E205" s="417" t="s">
        <v>1403</v>
      </c>
      <c r="F205" s="418">
        <v>2</v>
      </c>
      <c r="G205" s="419">
        <v>114.3</v>
      </c>
      <c r="H205" s="418">
        <v>31.26</v>
      </c>
      <c r="I205" s="419">
        <v>150.03</v>
      </c>
      <c r="J205" s="419">
        <v>300.06</v>
      </c>
    </row>
    <row r="206" spans="1:10" s="237" customFormat="1" ht="42.75">
      <c r="A206" s="416" t="s">
        <v>596</v>
      </c>
      <c r="B206" s="417" t="s">
        <v>1695</v>
      </c>
      <c r="C206" s="417" t="s">
        <v>1400</v>
      </c>
      <c r="D206" s="416" t="s">
        <v>1696</v>
      </c>
      <c r="E206" s="417" t="s">
        <v>1403</v>
      </c>
      <c r="F206" s="418">
        <v>4</v>
      </c>
      <c r="G206" s="419">
        <v>106.68</v>
      </c>
      <c r="H206" s="418">
        <v>31.26</v>
      </c>
      <c r="I206" s="419">
        <v>140.03</v>
      </c>
      <c r="J206" s="419">
        <v>560.12</v>
      </c>
    </row>
    <row r="207" spans="1:10" s="237" customFormat="1" ht="28.5">
      <c r="A207" s="416" t="s">
        <v>598</v>
      </c>
      <c r="B207" s="417" t="s">
        <v>1697</v>
      </c>
      <c r="C207" s="417" t="s">
        <v>1400</v>
      </c>
      <c r="D207" s="416" t="s">
        <v>1698</v>
      </c>
      <c r="E207" s="417" t="s">
        <v>1403</v>
      </c>
      <c r="F207" s="418">
        <v>1</v>
      </c>
      <c r="G207" s="419">
        <v>193.69</v>
      </c>
      <c r="H207" s="418">
        <v>31.26</v>
      </c>
      <c r="I207" s="419">
        <v>254.24</v>
      </c>
      <c r="J207" s="419">
        <v>254.24</v>
      </c>
    </row>
    <row r="208" spans="1:10" s="237" customFormat="1" ht="28.5">
      <c r="A208" s="416" t="s">
        <v>600</v>
      </c>
      <c r="B208" s="417" t="s">
        <v>1699</v>
      </c>
      <c r="C208" s="417" t="s">
        <v>1400</v>
      </c>
      <c r="D208" s="416" t="s">
        <v>1700</v>
      </c>
      <c r="E208" s="417" t="s">
        <v>1403</v>
      </c>
      <c r="F208" s="418">
        <v>1</v>
      </c>
      <c r="G208" s="419">
        <v>38.85</v>
      </c>
      <c r="H208" s="418">
        <v>31.26</v>
      </c>
      <c r="I208" s="419">
        <v>50.99</v>
      </c>
      <c r="J208" s="419">
        <v>50.99</v>
      </c>
    </row>
    <row r="209" spans="1:10" s="237" customFormat="1" ht="42.75">
      <c r="A209" s="416" t="s">
        <v>602</v>
      </c>
      <c r="B209" s="417" t="s">
        <v>1701</v>
      </c>
      <c r="C209" s="417" t="s">
        <v>1400</v>
      </c>
      <c r="D209" s="416" t="s">
        <v>1702</v>
      </c>
      <c r="E209" s="417" t="s">
        <v>1403</v>
      </c>
      <c r="F209" s="418">
        <v>8</v>
      </c>
      <c r="G209" s="419">
        <v>61.86</v>
      </c>
      <c r="H209" s="418">
        <v>31.26</v>
      </c>
      <c r="I209" s="419">
        <v>81.2</v>
      </c>
      <c r="J209" s="419">
        <v>649.6</v>
      </c>
    </row>
    <row r="210" spans="1:10" s="237" customFormat="1" ht="28.5">
      <c r="A210" s="416" t="s">
        <v>1337</v>
      </c>
      <c r="B210" s="417" t="s">
        <v>1703</v>
      </c>
      <c r="C210" s="417" t="s">
        <v>1400</v>
      </c>
      <c r="D210" s="416" t="s">
        <v>1704</v>
      </c>
      <c r="E210" s="417" t="s">
        <v>1403</v>
      </c>
      <c r="F210" s="418">
        <v>1</v>
      </c>
      <c r="G210" s="419">
        <v>82.45</v>
      </c>
      <c r="H210" s="418">
        <v>31.26</v>
      </c>
      <c r="I210" s="419">
        <v>108.22</v>
      </c>
      <c r="J210" s="419">
        <v>108.22</v>
      </c>
    </row>
    <row r="211" spans="1:10" s="237" customFormat="1" ht="42.75">
      <c r="A211" s="416" t="s">
        <v>1338</v>
      </c>
      <c r="B211" s="417" t="s">
        <v>1028</v>
      </c>
      <c r="C211" s="417" t="s">
        <v>1396</v>
      </c>
      <c r="D211" s="416" t="s">
        <v>593</v>
      </c>
      <c r="E211" s="417" t="s">
        <v>1403</v>
      </c>
      <c r="F211" s="418">
        <v>4</v>
      </c>
      <c r="G211" s="419">
        <v>25.95</v>
      </c>
      <c r="H211" s="418">
        <v>31.26</v>
      </c>
      <c r="I211" s="419">
        <v>34.06</v>
      </c>
      <c r="J211" s="419">
        <v>136.24</v>
      </c>
    </row>
    <row r="212" spans="1:10" s="237" customFormat="1" ht="28.5">
      <c r="A212" s="416" t="s">
        <v>1339</v>
      </c>
      <c r="B212" s="417" t="s">
        <v>1705</v>
      </c>
      <c r="C212" s="417" t="s">
        <v>1400</v>
      </c>
      <c r="D212" s="416" t="s">
        <v>1706</v>
      </c>
      <c r="E212" s="417" t="s">
        <v>1403</v>
      </c>
      <c r="F212" s="418">
        <v>1</v>
      </c>
      <c r="G212" s="419">
        <v>73.39</v>
      </c>
      <c r="H212" s="418">
        <v>31.26</v>
      </c>
      <c r="I212" s="419">
        <v>96.33</v>
      </c>
      <c r="J212" s="419">
        <v>96.33</v>
      </c>
    </row>
    <row r="213" spans="1:10" s="237" customFormat="1" ht="42.75">
      <c r="A213" s="416" t="s">
        <v>1340</v>
      </c>
      <c r="B213" s="417" t="s">
        <v>1707</v>
      </c>
      <c r="C213" s="417" t="s">
        <v>1400</v>
      </c>
      <c r="D213" s="416" t="s">
        <v>1708</v>
      </c>
      <c r="E213" s="417" t="s">
        <v>1403</v>
      </c>
      <c r="F213" s="418">
        <v>2</v>
      </c>
      <c r="G213" s="419">
        <v>1431.3</v>
      </c>
      <c r="H213" s="418">
        <v>31.26</v>
      </c>
      <c r="I213" s="419">
        <v>1878.72</v>
      </c>
      <c r="J213" s="419">
        <v>3757.44</v>
      </c>
    </row>
    <row r="214" spans="1:10" s="237" customFormat="1" ht="57">
      <c r="A214" s="416" t="s">
        <v>1341</v>
      </c>
      <c r="B214" s="417" t="s">
        <v>1709</v>
      </c>
      <c r="C214" s="417" t="s">
        <v>1400</v>
      </c>
      <c r="D214" s="416" t="s">
        <v>1710</v>
      </c>
      <c r="E214" s="417" t="s">
        <v>1403</v>
      </c>
      <c r="F214" s="418">
        <v>2</v>
      </c>
      <c r="G214" s="419">
        <v>1407.36</v>
      </c>
      <c r="H214" s="418">
        <v>31.26</v>
      </c>
      <c r="I214" s="419">
        <v>1847.3</v>
      </c>
      <c r="J214" s="419">
        <v>3694.6</v>
      </c>
    </row>
    <row r="215" spans="1:10" s="237" customFormat="1" ht="28.5">
      <c r="A215" s="416" t="s">
        <v>1342</v>
      </c>
      <c r="B215" s="417" t="s">
        <v>1711</v>
      </c>
      <c r="C215" s="417" t="s">
        <v>1400</v>
      </c>
      <c r="D215" s="416" t="s">
        <v>1712</v>
      </c>
      <c r="E215" s="417" t="s">
        <v>1403</v>
      </c>
      <c r="F215" s="418">
        <v>1</v>
      </c>
      <c r="G215" s="419">
        <v>330.14</v>
      </c>
      <c r="H215" s="418">
        <v>31.26</v>
      </c>
      <c r="I215" s="419">
        <v>433.34</v>
      </c>
      <c r="J215" s="419">
        <v>433.34</v>
      </c>
    </row>
    <row r="216" spans="1:10" s="237" customFormat="1" ht="28.5">
      <c r="A216" s="416" t="s">
        <v>1343</v>
      </c>
      <c r="B216" s="417" t="s">
        <v>1713</v>
      </c>
      <c r="C216" s="417" t="s">
        <v>1099</v>
      </c>
      <c r="D216" s="416" t="s">
        <v>1137</v>
      </c>
      <c r="E216" s="417" t="s">
        <v>1403</v>
      </c>
      <c r="F216" s="418">
        <v>1</v>
      </c>
      <c r="G216" s="419">
        <v>60770</v>
      </c>
      <c r="H216" s="418">
        <v>31.26</v>
      </c>
      <c r="I216" s="419">
        <v>79766.7</v>
      </c>
      <c r="J216" s="419">
        <v>79766.7</v>
      </c>
    </row>
    <row r="217" spans="1:10" s="237" customFormat="1" ht="42.75">
      <c r="A217" s="416" t="s">
        <v>1344</v>
      </c>
      <c r="B217" s="417" t="s">
        <v>1714</v>
      </c>
      <c r="C217" s="417" t="s">
        <v>1400</v>
      </c>
      <c r="D217" s="416" t="s">
        <v>1715</v>
      </c>
      <c r="E217" s="417" t="s">
        <v>931</v>
      </c>
      <c r="F217" s="418">
        <v>9</v>
      </c>
      <c r="G217" s="419">
        <v>340.62</v>
      </c>
      <c r="H217" s="418">
        <v>31.26</v>
      </c>
      <c r="I217" s="419">
        <v>447.1</v>
      </c>
      <c r="J217" s="419">
        <v>4023.9</v>
      </c>
    </row>
    <row r="218" spans="1:10" s="237" customFormat="1" ht="42.75">
      <c r="A218" s="416" t="s">
        <v>1345</v>
      </c>
      <c r="B218" s="417" t="s">
        <v>1716</v>
      </c>
      <c r="C218" s="417" t="s">
        <v>1400</v>
      </c>
      <c r="D218" s="416" t="s">
        <v>1717</v>
      </c>
      <c r="E218" s="417" t="s">
        <v>932</v>
      </c>
      <c r="F218" s="418">
        <v>6</v>
      </c>
      <c r="G218" s="419">
        <v>174.66</v>
      </c>
      <c r="H218" s="418">
        <v>31.26</v>
      </c>
      <c r="I218" s="419">
        <v>229.26</v>
      </c>
      <c r="J218" s="419">
        <v>1375.56</v>
      </c>
    </row>
    <row r="219" spans="1:10" s="237" customFormat="1" ht="15" customHeight="1">
      <c r="A219" s="241" t="s">
        <v>1718</v>
      </c>
      <c r="B219" s="242" t="s">
        <v>59</v>
      </c>
      <c r="C219" s="242"/>
      <c r="D219" s="242"/>
      <c r="E219" s="242"/>
      <c r="F219" s="242"/>
      <c r="G219" s="242"/>
      <c r="H219" s="242"/>
      <c r="I219" s="242"/>
      <c r="J219" s="243">
        <v>107792.63</v>
      </c>
    </row>
    <row r="220" spans="1:10" s="237" customFormat="1" ht="42.75">
      <c r="A220" s="416" t="s">
        <v>603</v>
      </c>
      <c r="B220" s="417" t="s">
        <v>1719</v>
      </c>
      <c r="C220" s="417" t="s">
        <v>1400</v>
      </c>
      <c r="D220" s="416" t="s">
        <v>1720</v>
      </c>
      <c r="E220" s="417" t="s">
        <v>1416</v>
      </c>
      <c r="F220" s="418">
        <v>69.59</v>
      </c>
      <c r="G220" s="419">
        <v>23.99</v>
      </c>
      <c r="H220" s="418">
        <v>31.26</v>
      </c>
      <c r="I220" s="419">
        <v>31.49</v>
      </c>
      <c r="J220" s="419">
        <v>2191.39</v>
      </c>
    </row>
    <row r="221" spans="1:10" s="237" customFormat="1" ht="42.75">
      <c r="A221" s="416" t="s">
        <v>605</v>
      </c>
      <c r="B221" s="417" t="s">
        <v>1721</v>
      </c>
      <c r="C221" s="417" t="s">
        <v>1400</v>
      </c>
      <c r="D221" s="416" t="s">
        <v>1722</v>
      </c>
      <c r="E221" s="417" t="s">
        <v>1416</v>
      </c>
      <c r="F221" s="418">
        <v>137.36000000000001</v>
      </c>
      <c r="G221" s="419">
        <v>30.08</v>
      </c>
      <c r="H221" s="418">
        <v>31.26</v>
      </c>
      <c r="I221" s="419">
        <v>39.479999999999997</v>
      </c>
      <c r="J221" s="419">
        <v>5422.97</v>
      </c>
    </row>
    <row r="222" spans="1:10" s="237" customFormat="1" ht="42.75">
      <c r="A222" s="416" t="s">
        <v>607</v>
      </c>
      <c r="B222" s="417" t="s">
        <v>1723</v>
      </c>
      <c r="C222" s="417" t="s">
        <v>1400</v>
      </c>
      <c r="D222" s="416" t="s">
        <v>1724</v>
      </c>
      <c r="E222" s="417" t="s">
        <v>1416</v>
      </c>
      <c r="F222" s="418">
        <v>94.47</v>
      </c>
      <c r="G222" s="419">
        <v>37.4</v>
      </c>
      <c r="H222" s="418">
        <v>31.26</v>
      </c>
      <c r="I222" s="419">
        <v>49.09</v>
      </c>
      <c r="J222" s="419">
        <v>4637.53</v>
      </c>
    </row>
    <row r="223" spans="1:10" s="237" customFormat="1" ht="42.75">
      <c r="A223" s="416" t="s">
        <v>609</v>
      </c>
      <c r="B223" s="417" t="s">
        <v>1725</v>
      </c>
      <c r="C223" s="417" t="s">
        <v>1400</v>
      </c>
      <c r="D223" s="416" t="s">
        <v>1726</v>
      </c>
      <c r="E223" s="417" t="s">
        <v>1416</v>
      </c>
      <c r="F223" s="418">
        <v>160.75</v>
      </c>
      <c r="G223" s="419">
        <v>41.91</v>
      </c>
      <c r="H223" s="418">
        <v>31.26</v>
      </c>
      <c r="I223" s="419">
        <v>55.01</v>
      </c>
      <c r="J223" s="419">
        <v>8842.86</v>
      </c>
    </row>
    <row r="224" spans="1:10" s="237" customFormat="1" ht="57">
      <c r="A224" s="416" t="s">
        <v>1394</v>
      </c>
      <c r="B224" s="417" t="s">
        <v>1727</v>
      </c>
      <c r="C224" s="417" t="s">
        <v>1400</v>
      </c>
      <c r="D224" s="416" t="s">
        <v>1728</v>
      </c>
      <c r="E224" s="417" t="s">
        <v>1403</v>
      </c>
      <c r="F224" s="418">
        <v>4</v>
      </c>
      <c r="G224" s="419">
        <v>11.83</v>
      </c>
      <c r="H224" s="418">
        <v>31.26</v>
      </c>
      <c r="I224" s="419">
        <v>15.53</v>
      </c>
      <c r="J224" s="419">
        <v>62.12</v>
      </c>
    </row>
    <row r="225" spans="1:10" s="237" customFormat="1" ht="57">
      <c r="A225" s="416" t="s">
        <v>611</v>
      </c>
      <c r="B225" s="417" t="s">
        <v>1729</v>
      </c>
      <c r="C225" s="417" t="s">
        <v>1400</v>
      </c>
      <c r="D225" s="416" t="s">
        <v>1730</v>
      </c>
      <c r="E225" s="417" t="s">
        <v>1403</v>
      </c>
      <c r="F225" s="418">
        <v>43</v>
      </c>
      <c r="G225" s="419">
        <v>11.52</v>
      </c>
      <c r="H225" s="418">
        <v>31.26</v>
      </c>
      <c r="I225" s="419">
        <v>15.12</v>
      </c>
      <c r="J225" s="419">
        <v>650.16</v>
      </c>
    </row>
    <row r="226" spans="1:10" s="237" customFormat="1" ht="57">
      <c r="A226" s="416" t="s">
        <v>612</v>
      </c>
      <c r="B226" s="417" t="s">
        <v>1731</v>
      </c>
      <c r="C226" s="417" t="s">
        <v>1400</v>
      </c>
      <c r="D226" s="416" t="s">
        <v>1732</v>
      </c>
      <c r="E226" s="417" t="s">
        <v>1403</v>
      </c>
      <c r="F226" s="418">
        <v>21</v>
      </c>
      <c r="G226" s="419">
        <v>17.190000000000001</v>
      </c>
      <c r="H226" s="418">
        <v>31.26</v>
      </c>
      <c r="I226" s="419">
        <v>22.56</v>
      </c>
      <c r="J226" s="419">
        <v>473.76</v>
      </c>
    </row>
    <row r="227" spans="1:10" s="237" customFormat="1" ht="57">
      <c r="A227" s="416" t="s">
        <v>613</v>
      </c>
      <c r="B227" s="417" t="s">
        <v>1733</v>
      </c>
      <c r="C227" s="417" t="s">
        <v>1400</v>
      </c>
      <c r="D227" s="416" t="s">
        <v>1734</v>
      </c>
      <c r="E227" s="417" t="s">
        <v>1403</v>
      </c>
      <c r="F227" s="418">
        <v>10</v>
      </c>
      <c r="G227" s="419">
        <v>25.61</v>
      </c>
      <c r="H227" s="418">
        <v>31.26</v>
      </c>
      <c r="I227" s="419">
        <v>33.619999999999997</v>
      </c>
      <c r="J227" s="419">
        <v>336.2</v>
      </c>
    </row>
    <row r="228" spans="1:10" s="237" customFormat="1" ht="57">
      <c r="A228" s="416" t="s">
        <v>615</v>
      </c>
      <c r="B228" s="417" t="s">
        <v>1735</v>
      </c>
      <c r="C228" s="417" t="s">
        <v>1400</v>
      </c>
      <c r="D228" s="416" t="s">
        <v>1736</v>
      </c>
      <c r="E228" s="417" t="s">
        <v>1403</v>
      </c>
      <c r="F228" s="418">
        <v>10</v>
      </c>
      <c r="G228" s="419">
        <v>30.73</v>
      </c>
      <c r="H228" s="418">
        <v>31.26</v>
      </c>
      <c r="I228" s="419">
        <v>40.340000000000003</v>
      </c>
      <c r="J228" s="419">
        <v>403.4</v>
      </c>
    </row>
    <row r="229" spans="1:10" s="237" customFormat="1" ht="57">
      <c r="A229" s="416" t="s">
        <v>617</v>
      </c>
      <c r="B229" s="417" t="s">
        <v>1737</v>
      </c>
      <c r="C229" s="417" t="s">
        <v>1400</v>
      </c>
      <c r="D229" s="416" t="s">
        <v>1738</v>
      </c>
      <c r="E229" s="417" t="s">
        <v>1403</v>
      </c>
      <c r="F229" s="418">
        <v>59</v>
      </c>
      <c r="G229" s="419">
        <v>11.29</v>
      </c>
      <c r="H229" s="418">
        <v>31.26</v>
      </c>
      <c r="I229" s="419">
        <v>14.82</v>
      </c>
      <c r="J229" s="419">
        <v>874.38</v>
      </c>
    </row>
    <row r="230" spans="1:10" s="237" customFormat="1" ht="57">
      <c r="A230" s="416" t="s">
        <v>619</v>
      </c>
      <c r="B230" s="417" t="s">
        <v>1739</v>
      </c>
      <c r="C230" s="417" t="s">
        <v>1400</v>
      </c>
      <c r="D230" s="416" t="s">
        <v>1740</v>
      </c>
      <c r="E230" s="417" t="s">
        <v>1403</v>
      </c>
      <c r="F230" s="418">
        <v>40</v>
      </c>
      <c r="G230" s="419">
        <v>16.43</v>
      </c>
      <c r="H230" s="418">
        <v>31.26</v>
      </c>
      <c r="I230" s="419">
        <v>21.57</v>
      </c>
      <c r="J230" s="419">
        <v>862.8</v>
      </c>
    </row>
    <row r="231" spans="1:10" s="237" customFormat="1" ht="57">
      <c r="A231" s="416" t="s">
        <v>621</v>
      </c>
      <c r="B231" s="417" t="s">
        <v>1741</v>
      </c>
      <c r="C231" s="417" t="s">
        <v>1400</v>
      </c>
      <c r="D231" s="416" t="s">
        <v>1742</v>
      </c>
      <c r="E231" s="417" t="s">
        <v>1403</v>
      </c>
      <c r="F231" s="418">
        <v>20</v>
      </c>
      <c r="G231" s="419">
        <v>24.6</v>
      </c>
      <c r="H231" s="418">
        <v>31.26</v>
      </c>
      <c r="I231" s="419">
        <v>32.29</v>
      </c>
      <c r="J231" s="419">
        <v>645.79999999999995</v>
      </c>
    </row>
    <row r="232" spans="1:10" s="237" customFormat="1" ht="57">
      <c r="A232" s="416" t="s">
        <v>623</v>
      </c>
      <c r="B232" s="417" t="s">
        <v>1743</v>
      </c>
      <c r="C232" s="417" t="s">
        <v>1400</v>
      </c>
      <c r="D232" s="416" t="s">
        <v>1744</v>
      </c>
      <c r="E232" s="417" t="s">
        <v>1403</v>
      </c>
      <c r="F232" s="418">
        <v>23</v>
      </c>
      <c r="G232" s="419">
        <v>29.86</v>
      </c>
      <c r="H232" s="418">
        <v>31.26</v>
      </c>
      <c r="I232" s="419">
        <v>39.19</v>
      </c>
      <c r="J232" s="419">
        <v>901.37</v>
      </c>
    </row>
    <row r="233" spans="1:10" s="237" customFormat="1" ht="42.75">
      <c r="A233" s="416" t="s">
        <v>625</v>
      </c>
      <c r="B233" s="417" t="s">
        <v>1105</v>
      </c>
      <c r="C233" s="417" t="s">
        <v>1396</v>
      </c>
      <c r="D233" s="416" t="s">
        <v>1745</v>
      </c>
      <c r="E233" s="417" t="s">
        <v>1403</v>
      </c>
      <c r="F233" s="418">
        <v>1</v>
      </c>
      <c r="G233" s="419">
        <v>22.5</v>
      </c>
      <c r="H233" s="418">
        <v>31.26</v>
      </c>
      <c r="I233" s="419">
        <v>29.53</v>
      </c>
      <c r="J233" s="419">
        <v>29.53</v>
      </c>
    </row>
    <row r="234" spans="1:10" s="237" customFormat="1" ht="57">
      <c r="A234" s="416" t="s">
        <v>627</v>
      </c>
      <c r="B234" s="417" t="s">
        <v>1746</v>
      </c>
      <c r="C234" s="417" t="s">
        <v>1400</v>
      </c>
      <c r="D234" s="416" t="s">
        <v>1747</v>
      </c>
      <c r="E234" s="417" t="s">
        <v>1403</v>
      </c>
      <c r="F234" s="418">
        <v>4</v>
      </c>
      <c r="G234" s="419">
        <v>28.81</v>
      </c>
      <c r="H234" s="418">
        <v>31.26</v>
      </c>
      <c r="I234" s="419">
        <v>37.82</v>
      </c>
      <c r="J234" s="419">
        <v>151.28</v>
      </c>
    </row>
    <row r="235" spans="1:10" s="237" customFormat="1" ht="57">
      <c r="A235" s="416" t="s">
        <v>629</v>
      </c>
      <c r="B235" s="417" t="s">
        <v>1748</v>
      </c>
      <c r="C235" s="417" t="s">
        <v>1400</v>
      </c>
      <c r="D235" s="416" t="s">
        <v>1749</v>
      </c>
      <c r="E235" s="417" t="s">
        <v>1403</v>
      </c>
      <c r="F235" s="418">
        <v>11</v>
      </c>
      <c r="G235" s="419">
        <v>36.69</v>
      </c>
      <c r="H235" s="418">
        <v>31.26</v>
      </c>
      <c r="I235" s="419">
        <v>48.16</v>
      </c>
      <c r="J235" s="419">
        <v>529.76</v>
      </c>
    </row>
    <row r="236" spans="1:10" s="237" customFormat="1" ht="42.75">
      <c r="A236" s="416" t="s">
        <v>631</v>
      </c>
      <c r="B236" s="417" t="s">
        <v>1750</v>
      </c>
      <c r="C236" s="417" t="s">
        <v>1400</v>
      </c>
      <c r="D236" s="416" t="s">
        <v>1029</v>
      </c>
      <c r="E236" s="417" t="s">
        <v>1403</v>
      </c>
      <c r="F236" s="418">
        <v>11</v>
      </c>
      <c r="G236" s="419">
        <v>54.97</v>
      </c>
      <c r="H236" s="418">
        <v>31.26</v>
      </c>
      <c r="I236" s="419">
        <v>72.150000000000006</v>
      </c>
      <c r="J236" s="419">
        <v>793.65</v>
      </c>
    </row>
    <row r="237" spans="1:10" s="237" customFormat="1" ht="42.75">
      <c r="A237" s="416" t="s">
        <v>633</v>
      </c>
      <c r="B237" s="417" t="s">
        <v>1751</v>
      </c>
      <c r="C237" s="417" t="s">
        <v>1400</v>
      </c>
      <c r="D237" s="416" t="s">
        <v>1752</v>
      </c>
      <c r="E237" s="417" t="s">
        <v>1403</v>
      </c>
      <c r="F237" s="418">
        <v>5</v>
      </c>
      <c r="G237" s="419">
        <v>48.47</v>
      </c>
      <c r="H237" s="418">
        <v>31.26</v>
      </c>
      <c r="I237" s="419">
        <v>63.62</v>
      </c>
      <c r="J237" s="419">
        <v>318.10000000000002</v>
      </c>
    </row>
    <row r="238" spans="1:10" s="237" customFormat="1" ht="57">
      <c r="A238" s="416" t="s">
        <v>634</v>
      </c>
      <c r="B238" s="417" t="s">
        <v>1750</v>
      </c>
      <c r="C238" s="417" t="s">
        <v>1400</v>
      </c>
      <c r="D238" s="416" t="s">
        <v>1753</v>
      </c>
      <c r="E238" s="417" t="s">
        <v>1403</v>
      </c>
      <c r="F238" s="418">
        <v>11</v>
      </c>
      <c r="G238" s="419">
        <v>54.97</v>
      </c>
      <c r="H238" s="418">
        <v>31.26</v>
      </c>
      <c r="I238" s="419">
        <v>72.150000000000006</v>
      </c>
      <c r="J238" s="419">
        <v>793.65</v>
      </c>
    </row>
    <row r="239" spans="1:10" s="237" customFormat="1" ht="42.75">
      <c r="A239" s="416" t="s">
        <v>635</v>
      </c>
      <c r="B239" s="417" t="s">
        <v>1754</v>
      </c>
      <c r="C239" s="417" t="s">
        <v>1400</v>
      </c>
      <c r="D239" s="416" t="s">
        <v>1755</v>
      </c>
      <c r="E239" s="417" t="s">
        <v>1403</v>
      </c>
      <c r="F239" s="418">
        <v>67</v>
      </c>
      <c r="G239" s="419">
        <v>10.1</v>
      </c>
      <c r="H239" s="418">
        <v>31.26</v>
      </c>
      <c r="I239" s="419">
        <v>13.26</v>
      </c>
      <c r="J239" s="419">
        <v>888.42</v>
      </c>
    </row>
    <row r="240" spans="1:10" s="237" customFormat="1" ht="42.75">
      <c r="A240" s="416" t="s">
        <v>636</v>
      </c>
      <c r="B240" s="417" t="s">
        <v>1756</v>
      </c>
      <c r="C240" s="417" t="s">
        <v>1400</v>
      </c>
      <c r="D240" s="416" t="s">
        <v>1757</v>
      </c>
      <c r="E240" s="417" t="s">
        <v>1403</v>
      </c>
      <c r="F240" s="418">
        <v>48</v>
      </c>
      <c r="G240" s="419">
        <v>16.47</v>
      </c>
      <c r="H240" s="418">
        <v>31.26</v>
      </c>
      <c r="I240" s="419">
        <v>21.62</v>
      </c>
      <c r="J240" s="419">
        <v>1037.76</v>
      </c>
    </row>
    <row r="241" spans="1:10" s="237" customFormat="1" ht="42.75">
      <c r="A241" s="416" t="s">
        <v>638</v>
      </c>
      <c r="B241" s="417" t="s">
        <v>1758</v>
      </c>
      <c r="C241" s="417" t="s">
        <v>1400</v>
      </c>
      <c r="D241" s="416" t="s">
        <v>1759</v>
      </c>
      <c r="E241" s="417" t="s">
        <v>1403</v>
      </c>
      <c r="F241" s="418">
        <v>73</v>
      </c>
      <c r="G241" s="419">
        <v>18.86</v>
      </c>
      <c r="H241" s="418">
        <v>31.26</v>
      </c>
      <c r="I241" s="419">
        <v>24.76</v>
      </c>
      <c r="J241" s="419">
        <v>1807.48</v>
      </c>
    </row>
    <row r="242" spans="1:10" s="237" customFormat="1" ht="42.75">
      <c r="A242" s="416" t="s">
        <v>640</v>
      </c>
      <c r="B242" s="417" t="s">
        <v>1760</v>
      </c>
      <c r="C242" s="417" t="s">
        <v>1400</v>
      </c>
      <c r="D242" s="416" t="s">
        <v>1761</v>
      </c>
      <c r="E242" s="417" t="s">
        <v>1403</v>
      </c>
      <c r="F242" s="418">
        <v>7</v>
      </c>
      <c r="G242" s="419">
        <v>33.29</v>
      </c>
      <c r="H242" s="418">
        <v>31.26</v>
      </c>
      <c r="I242" s="419">
        <v>43.7</v>
      </c>
      <c r="J242" s="419">
        <v>305.89999999999998</v>
      </c>
    </row>
    <row r="243" spans="1:10" s="237" customFormat="1" ht="57">
      <c r="A243" s="416" t="s">
        <v>642</v>
      </c>
      <c r="B243" s="417" t="s">
        <v>1762</v>
      </c>
      <c r="C243" s="417" t="s">
        <v>1400</v>
      </c>
      <c r="D243" s="416" t="s">
        <v>1763</v>
      </c>
      <c r="E243" s="417" t="s">
        <v>1403</v>
      </c>
      <c r="F243" s="418">
        <v>7</v>
      </c>
      <c r="G243" s="419">
        <v>11.46</v>
      </c>
      <c r="H243" s="418">
        <v>31.26</v>
      </c>
      <c r="I243" s="419">
        <v>15.04</v>
      </c>
      <c r="J243" s="419">
        <v>105.28</v>
      </c>
    </row>
    <row r="244" spans="1:10" s="237" customFormat="1" ht="57">
      <c r="A244" s="416" t="s">
        <v>644</v>
      </c>
      <c r="B244" s="417" t="s">
        <v>1764</v>
      </c>
      <c r="C244" s="417" t="s">
        <v>1400</v>
      </c>
      <c r="D244" s="416" t="s">
        <v>1765</v>
      </c>
      <c r="E244" s="417" t="s">
        <v>1403</v>
      </c>
      <c r="F244" s="418">
        <v>6</v>
      </c>
      <c r="G244" s="419">
        <v>23.79</v>
      </c>
      <c r="H244" s="418">
        <v>31.26</v>
      </c>
      <c r="I244" s="419">
        <v>31.23</v>
      </c>
      <c r="J244" s="419">
        <v>187.38</v>
      </c>
    </row>
    <row r="245" spans="1:10" s="237" customFormat="1" ht="42.75">
      <c r="A245" s="416" t="s">
        <v>645</v>
      </c>
      <c r="B245" s="417" t="s">
        <v>1766</v>
      </c>
      <c r="C245" s="417" t="s">
        <v>1400</v>
      </c>
      <c r="D245" s="416" t="s">
        <v>1767</v>
      </c>
      <c r="E245" s="417" t="s">
        <v>1403</v>
      </c>
      <c r="F245" s="418">
        <v>4</v>
      </c>
      <c r="G245" s="419">
        <v>26.37</v>
      </c>
      <c r="H245" s="418">
        <v>31.26</v>
      </c>
      <c r="I245" s="419">
        <v>34.61</v>
      </c>
      <c r="J245" s="419">
        <v>138.44</v>
      </c>
    </row>
    <row r="246" spans="1:10" s="237" customFormat="1" ht="42.75">
      <c r="A246" s="416" t="s">
        <v>647</v>
      </c>
      <c r="B246" s="417" t="s">
        <v>1768</v>
      </c>
      <c r="C246" s="417" t="s">
        <v>1400</v>
      </c>
      <c r="D246" s="416" t="s">
        <v>1769</v>
      </c>
      <c r="E246" s="417" t="s">
        <v>1403</v>
      </c>
      <c r="F246" s="418">
        <v>11</v>
      </c>
      <c r="G246" s="419">
        <v>41.74</v>
      </c>
      <c r="H246" s="418">
        <v>31.26</v>
      </c>
      <c r="I246" s="419">
        <v>54.79</v>
      </c>
      <c r="J246" s="419">
        <v>602.69000000000005</v>
      </c>
    </row>
    <row r="247" spans="1:10" s="237" customFormat="1" ht="42.75">
      <c r="A247" s="416" t="s">
        <v>648</v>
      </c>
      <c r="B247" s="417" t="s">
        <v>1770</v>
      </c>
      <c r="C247" s="417" t="s">
        <v>1400</v>
      </c>
      <c r="D247" s="416" t="s">
        <v>1771</v>
      </c>
      <c r="E247" s="417" t="s">
        <v>1403</v>
      </c>
      <c r="F247" s="418">
        <v>1</v>
      </c>
      <c r="G247" s="419">
        <v>43.88</v>
      </c>
      <c r="H247" s="418">
        <v>31.26</v>
      </c>
      <c r="I247" s="419">
        <v>57.6</v>
      </c>
      <c r="J247" s="419">
        <v>57.6</v>
      </c>
    </row>
    <row r="248" spans="1:10" s="237" customFormat="1" ht="42.75">
      <c r="A248" s="416" t="s">
        <v>649</v>
      </c>
      <c r="B248" s="417" t="s">
        <v>1751</v>
      </c>
      <c r="C248" s="417" t="s">
        <v>1400</v>
      </c>
      <c r="D248" s="416" t="s">
        <v>1752</v>
      </c>
      <c r="E248" s="417" t="s">
        <v>1403</v>
      </c>
      <c r="F248" s="418">
        <v>9</v>
      </c>
      <c r="G248" s="419">
        <v>48.47</v>
      </c>
      <c r="H248" s="418">
        <v>31.26</v>
      </c>
      <c r="I248" s="419">
        <v>63.62</v>
      </c>
      <c r="J248" s="419">
        <v>572.58000000000004</v>
      </c>
    </row>
    <row r="249" spans="1:10" s="237" customFormat="1" ht="42.75">
      <c r="A249" s="416" t="s">
        <v>651</v>
      </c>
      <c r="B249" s="417" t="s">
        <v>1772</v>
      </c>
      <c r="C249" s="417" t="s">
        <v>1400</v>
      </c>
      <c r="D249" s="416" t="s">
        <v>1773</v>
      </c>
      <c r="E249" s="417" t="s">
        <v>1403</v>
      </c>
      <c r="F249" s="418">
        <v>3</v>
      </c>
      <c r="G249" s="419">
        <v>53.12</v>
      </c>
      <c r="H249" s="418">
        <v>31.26</v>
      </c>
      <c r="I249" s="419">
        <v>69.73</v>
      </c>
      <c r="J249" s="419">
        <v>209.19</v>
      </c>
    </row>
    <row r="250" spans="1:10" s="237" customFormat="1" ht="42.75">
      <c r="A250" s="416" t="s">
        <v>652</v>
      </c>
      <c r="B250" s="417" t="s">
        <v>1035</v>
      </c>
      <c r="C250" s="417" t="s">
        <v>1396</v>
      </c>
      <c r="D250" s="416" t="s">
        <v>1034</v>
      </c>
      <c r="E250" s="417" t="s">
        <v>1403</v>
      </c>
      <c r="F250" s="418">
        <v>1</v>
      </c>
      <c r="G250" s="419">
        <v>98.61</v>
      </c>
      <c r="H250" s="418">
        <v>31.26</v>
      </c>
      <c r="I250" s="419">
        <v>129.44</v>
      </c>
      <c r="J250" s="419">
        <v>129.44</v>
      </c>
    </row>
    <row r="251" spans="1:10" s="237" customFormat="1" ht="57">
      <c r="A251" s="416" t="s">
        <v>653</v>
      </c>
      <c r="B251" s="417" t="s">
        <v>1774</v>
      </c>
      <c r="C251" s="417" t="s">
        <v>1400</v>
      </c>
      <c r="D251" s="416" t="s">
        <v>1775</v>
      </c>
      <c r="E251" s="417" t="s">
        <v>1403</v>
      </c>
      <c r="F251" s="418">
        <v>26</v>
      </c>
      <c r="G251" s="419">
        <v>86.83</v>
      </c>
      <c r="H251" s="418">
        <v>31.26</v>
      </c>
      <c r="I251" s="419">
        <v>113.97</v>
      </c>
      <c r="J251" s="419">
        <v>2963.22</v>
      </c>
    </row>
    <row r="252" spans="1:10" s="237" customFormat="1" ht="42.75">
      <c r="A252" s="416" t="s">
        <v>655</v>
      </c>
      <c r="B252" s="417" t="s">
        <v>1776</v>
      </c>
      <c r="C252" s="417" t="s">
        <v>1400</v>
      </c>
      <c r="D252" s="416" t="s">
        <v>1777</v>
      </c>
      <c r="E252" s="417" t="s">
        <v>1403</v>
      </c>
      <c r="F252" s="418">
        <v>2</v>
      </c>
      <c r="G252" s="419">
        <v>127.44</v>
      </c>
      <c r="H252" s="418">
        <v>31.26</v>
      </c>
      <c r="I252" s="419">
        <v>167.28</v>
      </c>
      <c r="J252" s="419">
        <v>334.56</v>
      </c>
    </row>
    <row r="253" spans="1:10" s="237" customFormat="1" ht="114">
      <c r="A253" s="416" t="s">
        <v>656</v>
      </c>
      <c r="B253" s="417" t="s">
        <v>2485</v>
      </c>
      <c r="C253" s="417" t="s">
        <v>1099</v>
      </c>
      <c r="D253" s="416" t="s">
        <v>1778</v>
      </c>
      <c r="E253" s="417" t="s">
        <v>1403</v>
      </c>
      <c r="F253" s="418">
        <v>11</v>
      </c>
      <c r="G253" s="419">
        <v>386.28</v>
      </c>
      <c r="H253" s="418">
        <v>31.26</v>
      </c>
      <c r="I253" s="419">
        <v>507.03</v>
      </c>
      <c r="J253" s="419">
        <v>5577.33</v>
      </c>
    </row>
    <row r="254" spans="1:10" s="237" customFormat="1" ht="57">
      <c r="A254" s="416" t="s">
        <v>658</v>
      </c>
      <c r="B254" s="417" t="s">
        <v>1779</v>
      </c>
      <c r="C254" s="417" t="s">
        <v>1396</v>
      </c>
      <c r="D254" s="416" t="s">
        <v>1780</v>
      </c>
      <c r="E254" s="417" t="s">
        <v>1403</v>
      </c>
      <c r="F254" s="418">
        <v>4</v>
      </c>
      <c r="G254" s="419">
        <v>410.13</v>
      </c>
      <c r="H254" s="418">
        <v>31.26</v>
      </c>
      <c r="I254" s="419">
        <v>538.34</v>
      </c>
      <c r="J254" s="419">
        <v>2153.36</v>
      </c>
    </row>
    <row r="255" spans="1:10" s="237" customFormat="1" ht="42.75">
      <c r="A255" s="416" t="s">
        <v>660</v>
      </c>
      <c r="B255" s="417" t="s">
        <v>1781</v>
      </c>
      <c r="C255" s="417" t="s">
        <v>1400</v>
      </c>
      <c r="D255" s="416" t="s">
        <v>1782</v>
      </c>
      <c r="E255" s="417" t="s">
        <v>1403</v>
      </c>
      <c r="F255" s="418">
        <v>3</v>
      </c>
      <c r="G255" s="419">
        <v>22.48</v>
      </c>
      <c r="H255" s="418">
        <v>31.26</v>
      </c>
      <c r="I255" s="419">
        <v>29.51</v>
      </c>
      <c r="J255" s="419">
        <v>88.53</v>
      </c>
    </row>
    <row r="256" spans="1:10" s="237" customFormat="1" ht="14.25">
      <c r="A256" s="416" t="s">
        <v>661</v>
      </c>
      <c r="B256" s="417" t="s">
        <v>1040</v>
      </c>
      <c r="C256" s="417" t="s">
        <v>1396</v>
      </c>
      <c r="D256" s="416" t="s">
        <v>1783</v>
      </c>
      <c r="E256" s="417" t="s">
        <v>1403</v>
      </c>
      <c r="F256" s="418">
        <v>32</v>
      </c>
      <c r="G256" s="419">
        <v>93.02</v>
      </c>
      <c r="H256" s="418">
        <v>31.26</v>
      </c>
      <c r="I256" s="419">
        <v>122.1</v>
      </c>
      <c r="J256" s="419">
        <v>3907.2</v>
      </c>
    </row>
    <row r="257" spans="1:10" s="237" customFormat="1" ht="57">
      <c r="A257" s="416" t="s">
        <v>663</v>
      </c>
      <c r="B257" s="417" t="s">
        <v>1784</v>
      </c>
      <c r="C257" s="417" t="s">
        <v>1400</v>
      </c>
      <c r="D257" s="416" t="s">
        <v>1785</v>
      </c>
      <c r="E257" s="417" t="s">
        <v>1403</v>
      </c>
      <c r="F257" s="418">
        <v>2</v>
      </c>
      <c r="G257" s="419">
        <v>14542.98</v>
      </c>
      <c r="H257" s="418">
        <v>31.26</v>
      </c>
      <c r="I257" s="419">
        <v>19089.12</v>
      </c>
      <c r="J257" s="419">
        <v>38178.239999999998</v>
      </c>
    </row>
    <row r="258" spans="1:10" s="237" customFormat="1" ht="57">
      <c r="A258" s="416" t="s">
        <v>665</v>
      </c>
      <c r="B258" s="417" t="s">
        <v>1786</v>
      </c>
      <c r="C258" s="417" t="s">
        <v>1400</v>
      </c>
      <c r="D258" s="416" t="s">
        <v>1787</v>
      </c>
      <c r="E258" s="417" t="s">
        <v>1403</v>
      </c>
      <c r="F258" s="418">
        <v>1</v>
      </c>
      <c r="G258" s="419">
        <v>14953.01</v>
      </c>
      <c r="H258" s="418">
        <v>31.26</v>
      </c>
      <c r="I258" s="419">
        <v>19627.32</v>
      </c>
      <c r="J258" s="419">
        <v>19627.32</v>
      </c>
    </row>
    <row r="259" spans="1:10" s="237" customFormat="1" ht="15" customHeight="1">
      <c r="A259" s="241" t="s">
        <v>1788</v>
      </c>
      <c r="B259" s="242" t="s">
        <v>60</v>
      </c>
      <c r="C259" s="242"/>
      <c r="D259" s="242"/>
      <c r="E259" s="242"/>
      <c r="F259" s="242"/>
      <c r="G259" s="242"/>
      <c r="H259" s="242"/>
      <c r="I259" s="242"/>
      <c r="J259" s="243">
        <v>22416.080000000002</v>
      </c>
    </row>
    <row r="260" spans="1:10" s="237" customFormat="1" ht="28.5">
      <c r="A260" s="416" t="s">
        <v>1350</v>
      </c>
      <c r="B260" s="417" t="s">
        <v>1612</v>
      </c>
      <c r="C260" s="417" t="s">
        <v>1400</v>
      </c>
      <c r="D260" s="416" t="s">
        <v>1613</v>
      </c>
      <c r="E260" s="417" t="s">
        <v>1416</v>
      </c>
      <c r="F260" s="418">
        <v>97.82</v>
      </c>
      <c r="G260" s="419">
        <v>5.99</v>
      </c>
      <c r="H260" s="418">
        <v>31.26</v>
      </c>
      <c r="I260" s="419">
        <v>7.86</v>
      </c>
      <c r="J260" s="419">
        <v>768.87</v>
      </c>
    </row>
    <row r="261" spans="1:10" s="237" customFormat="1" ht="28.5">
      <c r="A261" s="416" t="s">
        <v>1351</v>
      </c>
      <c r="B261" s="417" t="s">
        <v>1789</v>
      </c>
      <c r="C261" s="417" t="s">
        <v>1400</v>
      </c>
      <c r="D261" s="416" t="s">
        <v>1790</v>
      </c>
      <c r="E261" s="417" t="s">
        <v>1416</v>
      </c>
      <c r="F261" s="418">
        <v>13.18</v>
      </c>
      <c r="G261" s="419">
        <v>41.93</v>
      </c>
      <c r="H261" s="418">
        <v>31.26</v>
      </c>
      <c r="I261" s="419">
        <v>55.04</v>
      </c>
      <c r="J261" s="419">
        <v>725.43</v>
      </c>
    </row>
    <row r="262" spans="1:10" s="237" customFormat="1" ht="28.5">
      <c r="A262" s="416" t="s">
        <v>1352</v>
      </c>
      <c r="B262" s="417" t="s">
        <v>1791</v>
      </c>
      <c r="C262" s="417" t="s">
        <v>1400</v>
      </c>
      <c r="D262" s="416" t="s">
        <v>1792</v>
      </c>
      <c r="E262" s="417" t="s">
        <v>1416</v>
      </c>
      <c r="F262" s="418">
        <v>160.07</v>
      </c>
      <c r="G262" s="419">
        <v>53.36</v>
      </c>
      <c r="H262" s="418">
        <v>31.26</v>
      </c>
      <c r="I262" s="419">
        <v>70.040000000000006</v>
      </c>
      <c r="J262" s="419">
        <v>11211.3</v>
      </c>
    </row>
    <row r="263" spans="1:10" s="237" customFormat="1" ht="42.75">
      <c r="A263" s="416" t="s">
        <v>1353</v>
      </c>
      <c r="B263" s="417" t="s">
        <v>1793</v>
      </c>
      <c r="C263" s="417" t="s">
        <v>1400</v>
      </c>
      <c r="D263" s="416" t="s">
        <v>1794</v>
      </c>
      <c r="E263" s="417" t="s">
        <v>1416</v>
      </c>
      <c r="F263" s="418">
        <v>10.9</v>
      </c>
      <c r="G263" s="419">
        <v>152.27000000000001</v>
      </c>
      <c r="H263" s="418">
        <v>31.26</v>
      </c>
      <c r="I263" s="419">
        <v>199.87</v>
      </c>
      <c r="J263" s="419">
        <v>2178.58</v>
      </c>
    </row>
    <row r="264" spans="1:10" s="237" customFormat="1" ht="42.75">
      <c r="A264" s="416" t="s">
        <v>1354</v>
      </c>
      <c r="B264" s="417" t="s">
        <v>670</v>
      </c>
      <c r="C264" s="417" t="s">
        <v>1400</v>
      </c>
      <c r="D264" s="416" t="s">
        <v>1795</v>
      </c>
      <c r="E264" s="417" t="s">
        <v>1403</v>
      </c>
      <c r="F264" s="418">
        <v>11</v>
      </c>
      <c r="G264" s="419">
        <v>281.35000000000002</v>
      </c>
      <c r="H264" s="418">
        <v>31.26</v>
      </c>
      <c r="I264" s="419">
        <v>369.3</v>
      </c>
      <c r="J264" s="419">
        <v>4062.3</v>
      </c>
    </row>
    <row r="265" spans="1:10" s="237" customFormat="1" ht="28.5">
      <c r="A265" s="416" t="s">
        <v>1355</v>
      </c>
      <c r="B265" s="417" t="s">
        <v>1295</v>
      </c>
      <c r="C265" s="417" t="s">
        <v>1396</v>
      </c>
      <c r="D265" s="416" t="s">
        <v>1796</v>
      </c>
      <c r="E265" s="417" t="s">
        <v>1403</v>
      </c>
      <c r="F265" s="418">
        <v>10</v>
      </c>
      <c r="G265" s="419">
        <v>86.74</v>
      </c>
      <c r="H265" s="418">
        <v>31.26</v>
      </c>
      <c r="I265" s="419">
        <v>113.85</v>
      </c>
      <c r="J265" s="419">
        <v>1138.5</v>
      </c>
    </row>
    <row r="266" spans="1:10" s="237" customFormat="1" ht="42.75">
      <c r="A266" s="416" t="s">
        <v>1356</v>
      </c>
      <c r="B266" s="417" t="s">
        <v>672</v>
      </c>
      <c r="C266" s="417" t="s">
        <v>1400</v>
      </c>
      <c r="D266" s="416" t="s">
        <v>1797</v>
      </c>
      <c r="E266" s="417" t="s">
        <v>1403</v>
      </c>
      <c r="F266" s="418">
        <v>20</v>
      </c>
      <c r="G266" s="419">
        <v>6.81</v>
      </c>
      <c r="H266" s="418">
        <v>31.26</v>
      </c>
      <c r="I266" s="419">
        <v>8.94</v>
      </c>
      <c r="J266" s="419">
        <v>178.8</v>
      </c>
    </row>
    <row r="267" spans="1:10" s="237" customFormat="1" ht="57">
      <c r="A267" s="416" t="s">
        <v>1368</v>
      </c>
      <c r="B267" s="417" t="s">
        <v>1733</v>
      </c>
      <c r="C267" s="417" t="s">
        <v>1400</v>
      </c>
      <c r="D267" s="416" t="s">
        <v>1734</v>
      </c>
      <c r="E267" s="417" t="s">
        <v>1403</v>
      </c>
      <c r="F267" s="418">
        <v>8</v>
      </c>
      <c r="G267" s="419">
        <v>25.61</v>
      </c>
      <c r="H267" s="418">
        <v>31.26</v>
      </c>
      <c r="I267" s="419">
        <v>33.619999999999997</v>
      </c>
      <c r="J267" s="419">
        <v>268.95999999999998</v>
      </c>
    </row>
    <row r="268" spans="1:10" s="237" customFormat="1" ht="57">
      <c r="A268" s="416" t="s">
        <v>1357</v>
      </c>
      <c r="B268" s="417" t="s">
        <v>1735</v>
      </c>
      <c r="C268" s="417" t="s">
        <v>1400</v>
      </c>
      <c r="D268" s="416" t="s">
        <v>1736</v>
      </c>
      <c r="E268" s="417" t="s">
        <v>1403</v>
      </c>
      <c r="F268" s="418">
        <v>22</v>
      </c>
      <c r="G268" s="419">
        <v>30.73</v>
      </c>
      <c r="H268" s="418">
        <v>31.26</v>
      </c>
      <c r="I268" s="419">
        <v>40.340000000000003</v>
      </c>
      <c r="J268" s="419">
        <v>887.48</v>
      </c>
    </row>
    <row r="269" spans="1:10" s="237" customFormat="1" ht="42.75">
      <c r="A269" s="416" t="s">
        <v>1358</v>
      </c>
      <c r="B269" s="417" t="s">
        <v>674</v>
      </c>
      <c r="C269" s="417" t="s">
        <v>1400</v>
      </c>
      <c r="D269" s="416" t="s">
        <v>1651</v>
      </c>
      <c r="E269" s="417" t="s">
        <v>1403</v>
      </c>
      <c r="F269" s="418">
        <v>1</v>
      </c>
      <c r="G269" s="419">
        <v>5.95</v>
      </c>
      <c r="H269" s="418">
        <v>31.26</v>
      </c>
      <c r="I269" s="419">
        <v>7.81</v>
      </c>
      <c r="J269" s="419">
        <v>7.81</v>
      </c>
    </row>
    <row r="270" spans="1:10" s="237" customFormat="1" ht="57">
      <c r="A270" s="416" t="s">
        <v>1359</v>
      </c>
      <c r="B270" s="417" t="s">
        <v>1741</v>
      </c>
      <c r="C270" s="417" t="s">
        <v>1400</v>
      </c>
      <c r="D270" s="416" t="s">
        <v>1742</v>
      </c>
      <c r="E270" s="417" t="s">
        <v>1403</v>
      </c>
      <c r="F270" s="418">
        <v>1</v>
      </c>
      <c r="G270" s="419">
        <v>24.6</v>
      </c>
      <c r="H270" s="418">
        <v>31.26</v>
      </c>
      <c r="I270" s="419">
        <v>32.29</v>
      </c>
      <c r="J270" s="419">
        <v>32.29</v>
      </c>
    </row>
    <row r="271" spans="1:10" s="237" customFormat="1" ht="57">
      <c r="A271" s="416" t="s">
        <v>1360</v>
      </c>
      <c r="B271" s="417" t="s">
        <v>1743</v>
      </c>
      <c r="C271" s="417" t="s">
        <v>1400</v>
      </c>
      <c r="D271" s="416" t="s">
        <v>1744</v>
      </c>
      <c r="E271" s="417" t="s">
        <v>1403</v>
      </c>
      <c r="F271" s="418">
        <v>1</v>
      </c>
      <c r="G271" s="419">
        <v>29.86</v>
      </c>
      <c r="H271" s="418">
        <v>31.26</v>
      </c>
      <c r="I271" s="419">
        <v>39.19</v>
      </c>
      <c r="J271" s="419">
        <v>39.19</v>
      </c>
    </row>
    <row r="272" spans="1:10" s="237" customFormat="1" ht="57">
      <c r="A272" s="416" t="s">
        <v>1361</v>
      </c>
      <c r="B272" s="417" t="s">
        <v>1750</v>
      </c>
      <c r="C272" s="417" t="s">
        <v>1400</v>
      </c>
      <c r="D272" s="416" t="s">
        <v>1753</v>
      </c>
      <c r="E272" s="417" t="s">
        <v>1403</v>
      </c>
      <c r="F272" s="418">
        <v>1</v>
      </c>
      <c r="G272" s="419">
        <v>54.97</v>
      </c>
      <c r="H272" s="418">
        <v>31.26</v>
      </c>
      <c r="I272" s="419">
        <v>72.150000000000006</v>
      </c>
      <c r="J272" s="419">
        <v>72.150000000000006</v>
      </c>
    </row>
    <row r="273" spans="1:10" s="237" customFormat="1" ht="42.75">
      <c r="A273" s="416" t="s">
        <v>1362</v>
      </c>
      <c r="B273" s="417" t="s">
        <v>1756</v>
      </c>
      <c r="C273" s="417" t="s">
        <v>1400</v>
      </c>
      <c r="D273" s="416" t="s">
        <v>1757</v>
      </c>
      <c r="E273" s="417" t="s">
        <v>1403</v>
      </c>
      <c r="F273" s="418">
        <v>9</v>
      </c>
      <c r="G273" s="419">
        <v>16.47</v>
      </c>
      <c r="H273" s="418">
        <v>31.26</v>
      </c>
      <c r="I273" s="419">
        <v>21.62</v>
      </c>
      <c r="J273" s="419">
        <v>194.58</v>
      </c>
    </row>
    <row r="274" spans="1:10" s="237" customFormat="1" ht="42.75">
      <c r="A274" s="416" t="s">
        <v>1363</v>
      </c>
      <c r="B274" s="417" t="s">
        <v>1758</v>
      </c>
      <c r="C274" s="417" t="s">
        <v>1400</v>
      </c>
      <c r="D274" s="416" t="s">
        <v>1759</v>
      </c>
      <c r="E274" s="417" t="s">
        <v>1403</v>
      </c>
      <c r="F274" s="418">
        <v>23</v>
      </c>
      <c r="G274" s="419">
        <v>18.86</v>
      </c>
      <c r="H274" s="418">
        <v>31.26</v>
      </c>
      <c r="I274" s="419">
        <v>24.76</v>
      </c>
      <c r="J274" s="419">
        <v>569.48</v>
      </c>
    </row>
    <row r="275" spans="1:10" s="237" customFormat="1" ht="42.75">
      <c r="A275" s="416" t="s">
        <v>1364</v>
      </c>
      <c r="B275" s="417" t="s">
        <v>1772</v>
      </c>
      <c r="C275" s="417" t="s">
        <v>1400</v>
      </c>
      <c r="D275" s="416" t="s">
        <v>1773</v>
      </c>
      <c r="E275" s="417" t="s">
        <v>1403</v>
      </c>
      <c r="F275" s="418">
        <v>1</v>
      </c>
      <c r="G275" s="419">
        <v>53.12</v>
      </c>
      <c r="H275" s="418">
        <v>31.26</v>
      </c>
      <c r="I275" s="419">
        <v>69.73</v>
      </c>
      <c r="J275" s="419">
        <v>69.73</v>
      </c>
    </row>
    <row r="276" spans="1:10" s="237" customFormat="1" ht="42.75">
      <c r="A276" s="416" t="s">
        <v>1365</v>
      </c>
      <c r="B276" s="417" t="s">
        <v>1666</v>
      </c>
      <c r="C276" s="417" t="s">
        <v>1400</v>
      </c>
      <c r="D276" s="416" t="s">
        <v>1667</v>
      </c>
      <c r="E276" s="417" t="s">
        <v>1403</v>
      </c>
      <c r="F276" s="418">
        <v>1</v>
      </c>
      <c r="G276" s="419">
        <v>8.1</v>
      </c>
      <c r="H276" s="418">
        <v>31.26</v>
      </c>
      <c r="I276" s="419">
        <v>10.63</v>
      </c>
      <c r="J276" s="419">
        <v>10.63</v>
      </c>
    </row>
    <row r="277" spans="1:10" s="237" customFormat="1" ht="15" customHeight="1">
      <c r="A277" s="241" t="s">
        <v>1798</v>
      </c>
      <c r="B277" s="242" t="s">
        <v>61</v>
      </c>
      <c r="C277" s="242"/>
      <c r="D277" s="242"/>
      <c r="E277" s="242"/>
      <c r="F277" s="242"/>
      <c r="G277" s="242"/>
      <c r="H277" s="242"/>
      <c r="I277" s="242"/>
      <c r="J277" s="243">
        <v>55685.68</v>
      </c>
    </row>
    <row r="278" spans="1:10" s="237" customFormat="1" ht="28.5">
      <c r="A278" s="416" t="s">
        <v>240</v>
      </c>
      <c r="B278" s="417" t="s">
        <v>1799</v>
      </c>
      <c r="C278" s="417" t="s">
        <v>1400</v>
      </c>
      <c r="D278" s="416" t="s">
        <v>1800</v>
      </c>
      <c r="E278" s="417" t="s">
        <v>1403</v>
      </c>
      <c r="F278" s="418">
        <v>8</v>
      </c>
      <c r="G278" s="419">
        <v>97.95</v>
      </c>
      <c r="H278" s="418">
        <v>31.26</v>
      </c>
      <c r="I278" s="419">
        <v>128.57</v>
      </c>
      <c r="J278" s="419">
        <v>1028.56</v>
      </c>
    </row>
    <row r="279" spans="1:10" s="237" customFormat="1" ht="28.5">
      <c r="A279" s="416" t="s">
        <v>241</v>
      </c>
      <c r="B279" s="417" t="s">
        <v>1801</v>
      </c>
      <c r="C279" s="417" t="s">
        <v>1400</v>
      </c>
      <c r="D279" s="416" t="s">
        <v>1802</v>
      </c>
      <c r="E279" s="417" t="s">
        <v>1403</v>
      </c>
      <c r="F279" s="418">
        <v>13</v>
      </c>
      <c r="G279" s="419">
        <v>609.01</v>
      </c>
      <c r="H279" s="418">
        <v>31.26</v>
      </c>
      <c r="I279" s="419">
        <v>799.39</v>
      </c>
      <c r="J279" s="419">
        <v>10392.07</v>
      </c>
    </row>
    <row r="280" spans="1:10" s="237" customFormat="1" ht="42.75">
      <c r="A280" s="416" t="s">
        <v>242</v>
      </c>
      <c r="B280" s="417" t="s">
        <v>1803</v>
      </c>
      <c r="C280" s="417" t="s">
        <v>1400</v>
      </c>
      <c r="D280" s="416" t="s">
        <v>1804</v>
      </c>
      <c r="E280" s="417" t="s">
        <v>1403</v>
      </c>
      <c r="F280" s="418">
        <v>4</v>
      </c>
      <c r="G280" s="419">
        <v>557.19000000000005</v>
      </c>
      <c r="H280" s="418">
        <v>31.26</v>
      </c>
      <c r="I280" s="419">
        <v>731.37</v>
      </c>
      <c r="J280" s="419">
        <v>2925.48</v>
      </c>
    </row>
    <row r="281" spans="1:10" s="237" customFormat="1" ht="28.5">
      <c r="A281" s="416" t="s">
        <v>243</v>
      </c>
      <c r="B281" s="417" t="s">
        <v>1805</v>
      </c>
      <c r="C281" s="417" t="s">
        <v>1400</v>
      </c>
      <c r="D281" s="416" t="s">
        <v>1806</v>
      </c>
      <c r="E281" s="417" t="s">
        <v>1403</v>
      </c>
      <c r="F281" s="418">
        <v>17</v>
      </c>
      <c r="G281" s="419">
        <v>44.62</v>
      </c>
      <c r="H281" s="418">
        <v>31.26</v>
      </c>
      <c r="I281" s="419">
        <v>58.57</v>
      </c>
      <c r="J281" s="419">
        <v>995.69</v>
      </c>
    </row>
    <row r="282" spans="1:10" s="237" customFormat="1" ht="42.75">
      <c r="A282" s="416" t="s">
        <v>244</v>
      </c>
      <c r="B282" s="417" t="s">
        <v>1807</v>
      </c>
      <c r="C282" s="417" t="s">
        <v>1400</v>
      </c>
      <c r="D282" s="416" t="s">
        <v>1808</v>
      </c>
      <c r="E282" s="417" t="s">
        <v>1403</v>
      </c>
      <c r="F282" s="418">
        <v>2</v>
      </c>
      <c r="G282" s="419">
        <v>162.44</v>
      </c>
      <c r="H282" s="418">
        <v>31.26</v>
      </c>
      <c r="I282" s="419">
        <v>213.22</v>
      </c>
      <c r="J282" s="419">
        <v>426.44</v>
      </c>
    </row>
    <row r="283" spans="1:10" s="237" customFormat="1" ht="28.5">
      <c r="A283" s="416" t="s">
        <v>301</v>
      </c>
      <c r="B283" s="417" t="s">
        <v>1809</v>
      </c>
      <c r="C283" s="417" t="s">
        <v>1400</v>
      </c>
      <c r="D283" s="416" t="s">
        <v>1810</v>
      </c>
      <c r="E283" s="417" t="s">
        <v>1403</v>
      </c>
      <c r="F283" s="418">
        <v>18</v>
      </c>
      <c r="G283" s="419">
        <v>159.59</v>
      </c>
      <c r="H283" s="418">
        <v>31.26</v>
      </c>
      <c r="I283" s="419">
        <v>209.48</v>
      </c>
      <c r="J283" s="419">
        <v>3770.64</v>
      </c>
    </row>
    <row r="284" spans="1:10" s="237" customFormat="1" ht="42.75">
      <c r="A284" s="416" t="s">
        <v>245</v>
      </c>
      <c r="B284" s="417" t="s">
        <v>1811</v>
      </c>
      <c r="C284" s="417" t="s">
        <v>1400</v>
      </c>
      <c r="D284" s="416" t="s">
        <v>1812</v>
      </c>
      <c r="E284" s="417" t="s">
        <v>1403</v>
      </c>
      <c r="F284" s="418">
        <v>1</v>
      </c>
      <c r="G284" s="419">
        <v>391.54</v>
      </c>
      <c r="H284" s="418">
        <v>31.26</v>
      </c>
      <c r="I284" s="419">
        <v>513.94000000000005</v>
      </c>
      <c r="J284" s="419">
        <v>513.94000000000005</v>
      </c>
    </row>
    <row r="285" spans="1:10" s="237" customFormat="1" ht="57">
      <c r="A285" s="416" t="s">
        <v>174</v>
      </c>
      <c r="B285" s="417" t="s">
        <v>1813</v>
      </c>
      <c r="C285" s="417" t="s">
        <v>1400</v>
      </c>
      <c r="D285" s="416" t="s">
        <v>1814</v>
      </c>
      <c r="E285" s="417" t="s">
        <v>1403</v>
      </c>
      <c r="F285" s="418">
        <v>3</v>
      </c>
      <c r="G285" s="419">
        <v>878.7</v>
      </c>
      <c r="H285" s="418">
        <v>31.26</v>
      </c>
      <c r="I285" s="419">
        <v>1153.3800000000001</v>
      </c>
      <c r="J285" s="419">
        <v>3460.14</v>
      </c>
    </row>
    <row r="286" spans="1:10" s="237" customFormat="1" ht="42.75">
      <c r="A286" s="416" t="s">
        <v>246</v>
      </c>
      <c r="B286" s="417" t="s">
        <v>1815</v>
      </c>
      <c r="C286" s="417" t="s">
        <v>1400</v>
      </c>
      <c r="D286" s="416" t="s">
        <v>1816</v>
      </c>
      <c r="E286" s="417" t="s">
        <v>1403</v>
      </c>
      <c r="F286" s="418">
        <v>11</v>
      </c>
      <c r="G286" s="419">
        <v>477.45</v>
      </c>
      <c r="H286" s="418">
        <v>31.26</v>
      </c>
      <c r="I286" s="419">
        <v>626.70000000000005</v>
      </c>
      <c r="J286" s="419">
        <v>6893.7</v>
      </c>
    </row>
    <row r="287" spans="1:10" s="237" customFormat="1" ht="42.75">
      <c r="A287" s="416" t="s">
        <v>175</v>
      </c>
      <c r="B287" s="417" t="s">
        <v>1817</v>
      </c>
      <c r="C287" s="417" t="s">
        <v>1400</v>
      </c>
      <c r="D287" s="416" t="s">
        <v>1818</v>
      </c>
      <c r="E287" s="417" t="s">
        <v>1403</v>
      </c>
      <c r="F287" s="418">
        <v>21</v>
      </c>
      <c r="G287" s="419">
        <v>70.41</v>
      </c>
      <c r="H287" s="418">
        <v>31.26</v>
      </c>
      <c r="I287" s="419">
        <v>92.42</v>
      </c>
      <c r="J287" s="419">
        <v>1940.82</v>
      </c>
    </row>
    <row r="288" spans="1:10" s="237" customFormat="1" ht="42.75">
      <c r="A288" s="416" t="s">
        <v>247</v>
      </c>
      <c r="B288" s="417" t="s">
        <v>1819</v>
      </c>
      <c r="C288" s="417" t="s">
        <v>1400</v>
      </c>
      <c r="D288" s="416" t="s">
        <v>1820</v>
      </c>
      <c r="E288" s="417" t="s">
        <v>1403</v>
      </c>
      <c r="F288" s="418">
        <v>1</v>
      </c>
      <c r="G288" s="419">
        <v>119.92</v>
      </c>
      <c r="H288" s="418">
        <v>31.26</v>
      </c>
      <c r="I288" s="419">
        <v>157.41</v>
      </c>
      <c r="J288" s="419">
        <v>157.41</v>
      </c>
    </row>
    <row r="289" spans="1:10" s="237" customFormat="1" ht="42.75">
      <c r="A289" s="416" t="s">
        <v>248</v>
      </c>
      <c r="B289" s="417" t="s">
        <v>1821</v>
      </c>
      <c r="C289" s="417" t="s">
        <v>1400</v>
      </c>
      <c r="D289" s="416" t="s">
        <v>1822</v>
      </c>
      <c r="E289" s="417" t="s">
        <v>1403</v>
      </c>
      <c r="F289" s="418">
        <v>8</v>
      </c>
      <c r="G289" s="419">
        <v>122.26</v>
      </c>
      <c r="H289" s="418">
        <v>31.26</v>
      </c>
      <c r="I289" s="419">
        <v>160.47999999999999</v>
      </c>
      <c r="J289" s="419">
        <v>1283.8399999999999</v>
      </c>
    </row>
    <row r="290" spans="1:10" s="237" customFormat="1" ht="28.5">
      <c r="A290" s="416" t="s">
        <v>249</v>
      </c>
      <c r="B290" s="417" t="s">
        <v>1041</v>
      </c>
      <c r="C290" s="417" t="s">
        <v>1396</v>
      </c>
      <c r="D290" s="416" t="s">
        <v>1823</v>
      </c>
      <c r="E290" s="417" t="s">
        <v>1403</v>
      </c>
      <c r="F290" s="418">
        <v>2</v>
      </c>
      <c r="G290" s="419">
        <v>219.03</v>
      </c>
      <c r="H290" s="418">
        <v>31.26</v>
      </c>
      <c r="I290" s="419">
        <v>287.5</v>
      </c>
      <c r="J290" s="419">
        <v>575</v>
      </c>
    </row>
    <row r="291" spans="1:10" s="237" customFormat="1" ht="28.5">
      <c r="A291" s="416" t="s">
        <v>250</v>
      </c>
      <c r="B291" s="417" t="s">
        <v>1824</v>
      </c>
      <c r="C291" s="417" t="s">
        <v>1400</v>
      </c>
      <c r="D291" s="416" t="s">
        <v>1825</v>
      </c>
      <c r="E291" s="417" t="s">
        <v>1403</v>
      </c>
      <c r="F291" s="418">
        <v>17</v>
      </c>
      <c r="G291" s="419">
        <v>62.61</v>
      </c>
      <c r="H291" s="418">
        <v>31.26</v>
      </c>
      <c r="I291" s="419">
        <v>82.18</v>
      </c>
      <c r="J291" s="419">
        <v>1397.06</v>
      </c>
    </row>
    <row r="292" spans="1:10" s="237" customFormat="1" ht="42.75">
      <c r="A292" s="416" t="s">
        <v>251</v>
      </c>
      <c r="B292" s="417" t="s">
        <v>1826</v>
      </c>
      <c r="C292" s="417" t="s">
        <v>1400</v>
      </c>
      <c r="D292" s="416" t="s">
        <v>1827</v>
      </c>
      <c r="E292" s="417" t="s">
        <v>1403</v>
      </c>
      <c r="F292" s="418">
        <v>2</v>
      </c>
      <c r="G292" s="419">
        <v>271.07</v>
      </c>
      <c r="H292" s="418">
        <v>31.26</v>
      </c>
      <c r="I292" s="419">
        <v>355.81</v>
      </c>
      <c r="J292" s="419">
        <v>711.62</v>
      </c>
    </row>
    <row r="293" spans="1:10" s="237" customFormat="1" ht="42.75">
      <c r="A293" s="416" t="s">
        <v>302</v>
      </c>
      <c r="B293" s="417" t="s">
        <v>1828</v>
      </c>
      <c r="C293" s="417" t="s">
        <v>1400</v>
      </c>
      <c r="D293" s="416" t="s">
        <v>1829</v>
      </c>
      <c r="E293" s="417" t="s">
        <v>1403</v>
      </c>
      <c r="F293" s="418">
        <v>4</v>
      </c>
      <c r="G293" s="419">
        <v>278.89999999999998</v>
      </c>
      <c r="H293" s="418">
        <v>31.26</v>
      </c>
      <c r="I293" s="419">
        <v>366.08</v>
      </c>
      <c r="J293" s="419">
        <v>1464.32</v>
      </c>
    </row>
    <row r="294" spans="1:10" s="237" customFormat="1" ht="28.5">
      <c r="A294" s="416" t="s">
        <v>252</v>
      </c>
      <c r="B294" s="417" t="s">
        <v>1830</v>
      </c>
      <c r="C294" s="417" t="s">
        <v>1400</v>
      </c>
      <c r="D294" s="416" t="s">
        <v>1831</v>
      </c>
      <c r="E294" s="417" t="s">
        <v>1416</v>
      </c>
      <c r="F294" s="418">
        <v>5.0999999999999996</v>
      </c>
      <c r="G294" s="419">
        <v>102.18</v>
      </c>
      <c r="H294" s="418">
        <v>31.26</v>
      </c>
      <c r="I294" s="419">
        <v>134.12</v>
      </c>
      <c r="J294" s="419">
        <v>684.01</v>
      </c>
    </row>
    <row r="295" spans="1:10" s="237" customFormat="1" ht="71.25">
      <c r="A295" s="416" t="s">
        <v>303</v>
      </c>
      <c r="B295" s="417" t="s">
        <v>1832</v>
      </c>
      <c r="C295" s="417" t="s">
        <v>1400</v>
      </c>
      <c r="D295" s="416" t="s">
        <v>1833</v>
      </c>
      <c r="E295" s="417" t="s">
        <v>1416</v>
      </c>
      <c r="F295" s="418">
        <v>5.56</v>
      </c>
      <c r="G295" s="419">
        <v>617.29999999999995</v>
      </c>
      <c r="H295" s="418">
        <v>31.26</v>
      </c>
      <c r="I295" s="419">
        <v>810.27</v>
      </c>
      <c r="J295" s="419">
        <v>4505.1000000000004</v>
      </c>
    </row>
    <row r="296" spans="1:10" s="237" customFormat="1" ht="28.5">
      <c r="A296" s="416" t="s">
        <v>304</v>
      </c>
      <c r="B296" s="417" t="s">
        <v>182</v>
      </c>
      <c r="C296" s="417" t="s">
        <v>1396</v>
      </c>
      <c r="D296" s="416" t="s">
        <v>1834</v>
      </c>
      <c r="E296" s="417" t="s">
        <v>1403</v>
      </c>
      <c r="F296" s="418">
        <v>21</v>
      </c>
      <c r="G296" s="419">
        <v>48.32</v>
      </c>
      <c r="H296" s="418">
        <v>31.26</v>
      </c>
      <c r="I296" s="419">
        <v>63.42</v>
      </c>
      <c r="J296" s="419">
        <v>1331.82</v>
      </c>
    </row>
    <row r="297" spans="1:10" s="237" customFormat="1" ht="42.75">
      <c r="A297" s="416" t="s">
        <v>305</v>
      </c>
      <c r="B297" s="417" t="s">
        <v>1835</v>
      </c>
      <c r="C297" s="417" t="s">
        <v>1400</v>
      </c>
      <c r="D297" s="416" t="s">
        <v>1836</v>
      </c>
      <c r="E297" s="417" t="s">
        <v>1403</v>
      </c>
      <c r="F297" s="418">
        <v>21</v>
      </c>
      <c r="G297" s="419">
        <v>54.1</v>
      </c>
      <c r="H297" s="418">
        <v>31.26</v>
      </c>
      <c r="I297" s="419">
        <v>71.010000000000005</v>
      </c>
      <c r="J297" s="419">
        <v>1491.21</v>
      </c>
    </row>
    <row r="298" spans="1:10" s="237" customFormat="1" ht="28.5">
      <c r="A298" s="416" t="s">
        <v>306</v>
      </c>
      <c r="B298" s="417" t="s">
        <v>1263</v>
      </c>
      <c r="C298" s="417" t="s">
        <v>1396</v>
      </c>
      <c r="D298" s="416" t="s">
        <v>994</v>
      </c>
      <c r="E298" s="417" t="s">
        <v>1403</v>
      </c>
      <c r="F298" s="418">
        <v>2</v>
      </c>
      <c r="G298" s="419">
        <v>125.26</v>
      </c>
      <c r="H298" s="418">
        <v>31.26</v>
      </c>
      <c r="I298" s="419">
        <v>164.42</v>
      </c>
      <c r="J298" s="419">
        <v>328.84</v>
      </c>
    </row>
    <row r="299" spans="1:10" s="237" customFormat="1" ht="42.75">
      <c r="A299" s="416" t="s">
        <v>307</v>
      </c>
      <c r="B299" s="417" t="s">
        <v>1230</v>
      </c>
      <c r="C299" s="417" t="s">
        <v>1396</v>
      </c>
      <c r="D299" s="416" t="s">
        <v>1229</v>
      </c>
      <c r="E299" s="417" t="s">
        <v>1403</v>
      </c>
      <c r="F299" s="418">
        <v>143</v>
      </c>
      <c r="G299" s="419">
        <v>50.12</v>
      </c>
      <c r="H299" s="418">
        <v>31.26</v>
      </c>
      <c r="I299" s="419">
        <v>65.790000000000006</v>
      </c>
      <c r="J299" s="419">
        <v>9407.9699999999993</v>
      </c>
    </row>
    <row r="300" spans="1:10" s="237" customFormat="1" ht="15" customHeight="1">
      <c r="A300" s="241" t="s">
        <v>1837</v>
      </c>
      <c r="B300" s="242" t="s">
        <v>62</v>
      </c>
      <c r="C300" s="242"/>
      <c r="D300" s="242"/>
      <c r="E300" s="242"/>
      <c r="F300" s="242"/>
      <c r="G300" s="242"/>
      <c r="H300" s="242"/>
      <c r="I300" s="242"/>
      <c r="J300" s="243">
        <v>9616.2000000000007</v>
      </c>
    </row>
    <row r="301" spans="1:10" s="237" customFormat="1" ht="57">
      <c r="A301" s="416" t="s">
        <v>675</v>
      </c>
      <c r="B301" s="417" t="s">
        <v>1838</v>
      </c>
      <c r="C301" s="417" t="s">
        <v>1400</v>
      </c>
      <c r="D301" s="416" t="s">
        <v>1839</v>
      </c>
      <c r="E301" s="417" t="s">
        <v>1416</v>
      </c>
      <c r="F301" s="418">
        <v>1.1299999999999999</v>
      </c>
      <c r="G301" s="419">
        <v>29.02</v>
      </c>
      <c r="H301" s="418">
        <v>31.26</v>
      </c>
      <c r="I301" s="419">
        <v>38.090000000000003</v>
      </c>
      <c r="J301" s="419">
        <v>43.04</v>
      </c>
    </row>
    <row r="302" spans="1:10" s="237" customFormat="1" ht="57">
      <c r="A302" s="416" t="s">
        <v>677</v>
      </c>
      <c r="B302" s="417" t="s">
        <v>1840</v>
      </c>
      <c r="C302" s="417" t="s">
        <v>1400</v>
      </c>
      <c r="D302" s="416" t="s">
        <v>1841</v>
      </c>
      <c r="E302" s="417" t="s">
        <v>1416</v>
      </c>
      <c r="F302" s="418">
        <v>29.63</v>
      </c>
      <c r="G302" s="419">
        <v>41.18</v>
      </c>
      <c r="H302" s="418">
        <v>31.26</v>
      </c>
      <c r="I302" s="419">
        <v>54.05</v>
      </c>
      <c r="J302" s="419">
        <v>1601.5</v>
      </c>
    </row>
    <row r="303" spans="1:10" s="237" customFormat="1" ht="42.75">
      <c r="A303" s="416" t="s">
        <v>679</v>
      </c>
      <c r="B303" s="417" t="s">
        <v>1842</v>
      </c>
      <c r="C303" s="417" t="s">
        <v>1400</v>
      </c>
      <c r="D303" s="416" t="s">
        <v>1843</v>
      </c>
      <c r="E303" s="417" t="s">
        <v>1416</v>
      </c>
      <c r="F303" s="418">
        <v>0.51</v>
      </c>
      <c r="G303" s="419">
        <v>103.14</v>
      </c>
      <c r="H303" s="418">
        <v>31.26</v>
      </c>
      <c r="I303" s="419">
        <v>135.38</v>
      </c>
      <c r="J303" s="419">
        <v>69.040000000000006</v>
      </c>
    </row>
    <row r="304" spans="1:10" s="237" customFormat="1" ht="42.75">
      <c r="A304" s="416" t="s">
        <v>681</v>
      </c>
      <c r="B304" s="417" t="s">
        <v>1844</v>
      </c>
      <c r="C304" s="417" t="s">
        <v>1400</v>
      </c>
      <c r="D304" s="416" t="s">
        <v>1845</v>
      </c>
      <c r="E304" s="417" t="s">
        <v>1403</v>
      </c>
      <c r="F304" s="418">
        <v>6</v>
      </c>
      <c r="G304" s="419">
        <v>37.22</v>
      </c>
      <c r="H304" s="418">
        <v>31.26</v>
      </c>
      <c r="I304" s="419">
        <v>48.85</v>
      </c>
      <c r="J304" s="419">
        <v>293.10000000000002</v>
      </c>
    </row>
    <row r="305" spans="1:10" s="237" customFormat="1" ht="42.75">
      <c r="A305" s="416" t="s">
        <v>682</v>
      </c>
      <c r="B305" s="417" t="s">
        <v>1846</v>
      </c>
      <c r="C305" s="417" t="s">
        <v>1400</v>
      </c>
      <c r="D305" s="416" t="s">
        <v>1847</v>
      </c>
      <c r="E305" s="417" t="s">
        <v>1403</v>
      </c>
      <c r="F305" s="418">
        <v>3</v>
      </c>
      <c r="G305" s="419">
        <v>80.27</v>
      </c>
      <c r="H305" s="418">
        <v>31.26</v>
      </c>
      <c r="I305" s="419">
        <v>105.36</v>
      </c>
      <c r="J305" s="419">
        <v>316.08</v>
      </c>
    </row>
    <row r="306" spans="1:10" s="237" customFormat="1" ht="14.25">
      <c r="A306" s="416" t="s">
        <v>684</v>
      </c>
      <c r="B306" s="417" t="s">
        <v>1043</v>
      </c>
      <c r="C306" s="417" t="s">
        <v>1396</v>
      </c>
      <c r="D306" s="416" t="s">
        <v>1848</v>
      </c>
      <c r="E306" s="417" t="s">
        <v>1403</v>
      </c>
      <c r="F306" s="418">
        <v>2</v>
      </c>
      <c r="G306" s="419">
        <v>17.27</v>
      </c>
      <c r="H306" s="418">
        <v>31.26</v>
      </c>
      <c r="I306" s="419">
        <v>22.67</v>
      </c>
      <c r="J306" s="419">
        <v>45.34</v>
      </c>
    </row>
    <row r="307" spans="1:10" s="237" customFormat="1" ht="57">
      <c r="A307" s="416" t="s">
        <v>686</v>
      </c>
      <c r="B307" s="417" t="s">
        <v>1849</v>
      </c>
      <c r="C307" s="417" t="s">
        <v>1400</v>
      </c>
      <c r="D307" s="416" t="s">
        <v>1850</v>
      </c>
      <c r="E307" s="417" t="s">
        <v>1403</v>
      </c>
      <c r="F307" s="418">
        <v>5</v>
      </c>
      <c r="G307" s="419">
        <v>19.350000000000001</v>
      </c>
      <c r="H307" s="418">
        <v>31.26</v>
      </c>
      <c r="I307" s="419">
        <v>25.4</v>
      </c>
      <c r="J307" s="419">
        <v>127</v>
      </c>
    </row>
    <row r="308" spans="1:10" s="237" customFormat="1" ht="57">
      <c r="A308" s="416" t="s">
        <v>687</v>
      </c>
      <c r="B308" s="417" t="s">
        <v>1851</v>
      </c>
      <c r="C308" s="417" t="s">
        <v>1400</v>
      </c>
      <c r="D308" s="416" t="s">
        <v>1852</v>
      </c>
      <c r="E308" s="417" t="s">
        <v>1403</v>
      </c>
      <c r="F308" s="418">
        <v>1</v>
      </c>
      <c r="G308" s="419">
        <v>28.07</v>
      </c>
      <c r="H308" s="418">
        <v>31.26</v>
      </c>
      <c r="I308" s="419">
        <v>36.840000000000003</v>
      </c>
      <c r="J308" s="419">
        <v>36.840000000000003</v>
      </c>
    </row>
    <row r="309" spans="1:10" s="237" customFormat="1" ht="114">
      <c r="A309" s="416" t="s">
        <v>688</v>
      </c>
      <c r="B309" s="417" t="s">
        <v>2486</v>
      </c>
      <c r="C309" s="417" t="s">
        <v>1099</v>
      </c>
      <c r="D309" s="416" t="s">
        <v>1853</v>
      </c>
      <c r="E309" s="417" t="s">
        <v>1403</v>
      </c>
      <c r="F309" s="418">
        <v>1</v>
      </c>
      <c r="G309" s="419">
        <v>4601.75</v>
      </c>
      <c r="H309" s="418">
        <v>31.26</v>
      </c>
      <c r="I309" s="419">
        <v>6040.26</v>
      </c>
      <c r="J309" s="419">
        <v>6040.26</v>
      </c>
    </row>
    <row r="310" spans="1:10" s="237" customFormat="1" ht="28.5">
      <c r="A310" s="416" t="s">
        <v>689</v>
      </c>
      <c r="B310" s="417" t="s">
        <v>1854</v>
      </c>
      <c r="C310" s="417" t="s">
        <v>1396</v>
      </c>
      <c r="D310" s="416" t="s">
        <v>1855</v>
      </c>
      <c r="E310" s="417" t="s">
        <v>1416</v>
      </c>
      <c r="F310" s="418">
        <v>50</v>
      </c>
      <c r="G310" s="419">
        <v>15.91</v>
      </c>
      <c r="H310" s="418">
        <v>31.26</v>
      </c>
      <c r="I310" s="419">
        <v>20.88</v>
      </c>
      <c r="J310" s="419">
        <v>1044</v>
      </c>
    </row>
    <row r="311" spans="1:10" s="237" customFormat="1" ht="15" customHeight="1">
      <c r="A311" s="241" t="s">
        <v>1856</v>
      </c>
      <c r="B311" s="242" t="s">
        <v>63</v>
      </c>
      <c r="C311" s="242"/>
      <c r="D311" s="242"/>
      <c r="E311" s="242"/>
      <c r="F311" s="242"/>
      <c r="G311" s="242"/>
      <c r="H311" s="242"/>
      <c r="I311" s="242"/>
      <c r="J311" s="243">
        <v>43769.58</v>
      </c>
    </row>
    <row r="312" spans="1:10" s="237" customFormat="1" ht="42.75">
      <c r="A312" s="416" t="s">
        <v>690</v>
      </c>
      <c r="B312" s="417" t="s">
        <v>1857</v>
      </c>
      <c r="C312" s="417" t="s">
        <v>1400</v>
      </c>
      <c r="D312" s="416" t="s">
        <v>1858</v>
      </c>
      <c r="E312" s="417" t="s">
        <v>1403</v>
      </c>
      <c r="F312" s="418">
        <v>6</v>
      </c>
      <c r="G312" s="419">
        <v>297.72000000000003</v>
      </c>
      <c r="H312" s="418">
        <v>31.26</v>
      </c>
      <c r="I312" s="419">
        <v>390.79</v>
      </c>
      <c r="J312" s="419">
        <v>2344.7399999999998</v>
      </c>
    </row>
    <row r="313" spans="1:10" s="237" customFormat="1" ht="42.75">
      <c r="A313" s="416" t="s">
        <v>692</v>
      </c>
      <c r="B313" s="417" t="s">
        <v>1859</v>
      </c>
      <c r="C313" s="417" t="s">
        <v>1400</v>
      </c>
      <c r="D313" s="416" t="s">
        <v>1860</v>
      </c>
      <c r="E313" s="417" t="s">
        <v>1403</v>
      </c>
      <c r="F313" s="418">
        <v>1</v>
      </c>
      <c r="G313" s="419">
        <v>837.72</v>
      </c>
      <c r="H313" s="418">
        <v>31.26</v>
      </c>
      <c r="I313" s="419">
        <v>1099.5899999999999</v>
      </c>
      <c r="J313" s="419">
        <v>1099.5899999999999</v>
      </c>
    </row>
    <row r="314" spans="1:10" s="237" customFormat="1" ht="28.5">
      <c r="A314" s="416" t="s">
        <v>694</v>
      </c>
      <c r="B314" s="417" t="s">
        <v>1861</v>
      </c>
      <c r="C314" s="417" t="s">
        <v>1400</v>
      </c>
      <c r="D314" s="416" t="s">
        <v>1862</v>
      </c>
      <c r="E314" s="417" t="s">
        <v>1403</v>
      </c>
      <c r="F314" s="418">
        <v>45</v>
      </c>
      <c r="G314" s="419">
        <v>27.83</v>
      </c>
      <c r="H314" s="418">
        <v>31.26</v>
      </c>
      <c r="I314" s="419">
        <v>36.53</v>
      </c>
      <c r="J314" s="419">
        <v>1643.85</v>
      </c>
    </row>
    <row r="315" spans="1:10" s="237" customFormat="1" ht="28.5">
      <c r="A315" s="416" t="s">
        <v>696</v>
      </c>
      <c r="B315" s="417" t="s">
        <v>1607</v>
      </c>
      <c r="C315" s="417" t="s">
        <v>1400</v>
      </c>
      <c r="D315" s="416" t="s">
        <v>1608</v>
      </c>
      <c r="E315" s="417" t="s">
        <v>1398</v>
      </c>
      <c r="F315" s="418">
        <v>11.99</v>
      </c>
      <c r="G315" s="419">
        <v>76.37</v>
      </c>
      <c r="H315" s="418">
        <v>31.26</v>
      </c>
      <c r="I315" s="419">
        <v>100.24</v>
      </c>
      <c r="J315" s="419">
        <v>1201.8800000000001</v>
      </c>
    </row>
    <row r="316" spans="1:10" s="237" customFormat="1" ht="57">
      <c r="A316" s="416" t="s">
        <v>701</v>
      </c>
      <c r="B316" s="417" t="s">
        <v>1863</v>
      </c>
      <c r="C316" s="417" t="s">
        <v>1396</v>
      </c>
      <c r="D316" s="416" t="s">
        <v>1864</v>
      </c>
      <c r="E316" s="417" t="s">
        <v>1403</v>
      </c>
      <c r="F316" s="418">
        <v>44</v>
      </c>
      <c r="G316" s="419">
        <v>46.86</v>
      </c>
      <c r="H316" s="418">
        <v>31.26</v>
      </c>
      <c r="I316" s="419">
        <v>61.51</v>
      </c>
      <c r="J316" s="419">
        <v>2706.44</v>
      </c>
    </row>
    <row r="317" spans="1:10" s="237" customFormat="1" ht="57">
      <c r="A317" s="416" t="s">
        <v>705</v>
      </c>
      <c r="B317" s="417" t="s">
        <v>1047</v>
      </c>
      <c r="C317" s="417" t="s">
        <v>1396</v>
      </c>
      <c r="D317" s="416" t="s">
        <v>1371</v>
      </c>
      <c r="E317" s="417" t="s">
        <v>1403</v>
      </c>
      <c r="F317" s="418">
        <v>18</v>
      </c>
      <c r="G317" s="419">
        <v>53.42</v>
      </c>
      <c r="H317" s="418">
        <v>31.26</v>
      </c>
      <c r="I317" s="419">
        <v>70.12</v>
      </c>
      <c r="J317" s="419">
        <v>1262.1600000000001</v>
      </c>
    </row>
    <row r="318" spans="1:10" s="237" customFormat="1" ht="71.25">
      <c r="A318" s="416" t="s">
        <v>710</v>
      </c>
      <c r="B318" s="417" t="s">
        <v>1865</v>
      </c>
      <c r="C318" s="417" t="s">
        <v>1400</v>
      </c>
      <c r="D318" s="416" t="s">
        <v>1866</v>
      </c>
      <c r="E318" s="417" t="s">
        <v>1403</v>
      </c>
      <c r="F318" s="418">
        <v>2</v>
      </c>
      <c r="G318" s="419">
        <v>1614.72</v>
      </c>
      <c r="H318" s="418">
        <v>31.26</v>
      </c>
      <c r="I318" s="419">
        <v>2119.48</v>
      </c>
      <c r="J318" s="419">
        <v>4238.96</v>
      </c>
    </row>
    <row r="319" spans="1:10" s="237" customFormat="1" ht="28.5">
      <c r="A319" s="416" t="s">
        <v>712</v>
      </c>
      <c r="B319" s="417" t="s">
        <v>1867</v>
      </c>
      <c r="C319" s="417" t="s">
        <v>1400</v>
      </c>
      <c r="D319" s="416" t="s">
        <v>1868</v>
      </c>
      <c r="E319" s="417" t="s">
        <v>1403</v>
      </c>
      <c r="F319" s="418">
        <v>1</v>
      </c>
      <c r="G319" s="419">
        <v>3596.84</v>
      </c>
      <c r="H319" s="418">
        <v>31.26</v>
      </c>
      <c r="I319" s="419">
        <v>4721.21</v>
      </c>
      <c r="J319" s="419">
        <v>4721.21</v>
      </c>
    </row>
    <row r="320" spans="1:10" s="237" customFormat="1" ht="57">
      <c r="A320" s="416" t="s">
        <v>714</v>
      </c>
      <c r="B320" s="417" t="s">
        <v>1869</v>
      </c>
      <c r="C320" s="417" t="s">
        <v>1400</v>
      </c>
      <c r="D320" s="416" t="s">
        <v>1870</v>
      </c>
      <c r="E320" s="417" t="s">
        <v>1416</v>
      </c>
      <c r="F320" s="418">
        <v>0.52</v>
      </c>
      <c r="G320" s="419">
        <v>55.4</v>
      </c>
      <c r="H320" s="418">
        <v>31.26</v>
      </c>
      <c r="I320" s="419">
        <v>72.72</v>
      </c>
      <c r="J320" s="419">
        <v>37.81</v>
      </c>
    </row>
    <row r="321" spans="1:10" s="237" customFormat="1" ht="57">
      <c r="A321" s="416" t="s">
        <v>716</v>
      </c>
      <c r="B321" s="417" t="s">
        <v>1871</v>
      </c>
      <c r="C321" s="417" t="s">
        <v>1400</v>
      </c>
      <c r="D321" s="416" t="s">
        <v>1872</v>
      </c>
      <c r="E321" s="417" t="s">
        <v>1416</v>
      </c>
      <c r="F321" s="418">
        <v>89.23</v>
      </c>
      <c r="G321" s="419">
        <v>108</v>
      </c>
      <c r="H321" s="418">
        <v>31.26</v>
      </c>
      <c r="I321" s="419">
        <v>141.76</v>
      </c>
      <c r="J321" s="419">
        <v>12649.24</v>
      </c>
    </row>
    <row r="322" spans="1:10" s="237" customFormat="1" ht="57">
      <c r="A322" s="416" t="s">
        <v>718</v>
      </c>
      <c r="B322" s="417" t="s">
        <v>1873</v>
      </c>
      <c r="C322" s="417" t="s">
        <v>1400</v>
      </c>
      <c r="D322" s="416" t="s">
        <v>1874</v>
      </c>
      <c r="E322" s="417" t="s">
        <v>1403</v>
      </c>
      <c r="F322" s="418">
        <v>21</v>
      </c>
      <c r="G322" s="419">
        <v>78.459999999999994</v>
      </c>
      <c r="H322" s="418">
        <v>31.26</v>
      </c>
      <c r="I322" s="419">
        <v>102.99</v>
      </c>
      <c r="J322" s="419">
        <v>2162.79</v>
      </c>
    </row>
    <row r="323" spans="1:10" s="237" customFormat="1" ht="28.5">
      <c r="A323" s="416" t="s">
        <v>720</v>
      </c>
      <c r="B323" s="417" t="s">
        <v>1697</v>
      </c>
      <c r="C323" s="417" t="s">
        <v>1400</v>
      </c>
      <c r="D323" s="416" t="s">
        <v>1698</v>
      </c>
      <c r="E323" s="417" t="s">
        <v>1403</v>
      </c>
      <c r="F323" s="418">
        <v>3</v>
      </c>
      <c r="G323" s="419">
        <v>193.69</v>
      </c>
      <c r="H323" s="418">
        <v>31.26</v>
      </c>
      <c r="I323" s="419">
        <v>254.24</v>
      </c>
      <c r="J323" s="419">
        <v>762.72</v>
      </c>
    </row>
    <row r="324" spans="1:10" s="237" customFormat="1" ht="42.75">
      <c r="A324" s="416" t="s">
        <v>722</v>
      </c>
      <c r="B324" s="417" t="s">
        <v>1875</v>
      </c>
      <c r="C324" s="417" t="s">
        <v>1400</v>
      </c>
      <c r="D324" s="416" t="s">
        <v>1876</v>
      </c>
      <c r="E324" s="417" t="s">
        <v>1403</v>
      </c>
      <c r="F324" s="418">
        <v>4</v>
      </c>
      <c r="G324" s="419">
        <v>255.47</v>
      </c>
      <c r="H324" s="418">
        <v>31.26</v>
      </c>
      <c r="I324" s="419">
        <v>335.33</v>
      </c>
      <c r="J324" s="419">
        <v>1341.32</v>
      </c>
    </row>
    <row r="325" spans="1:10" s="237" customFormat="1" ht="42.75">
      <c r="A325" s="416" t="s">
        <v>724</v>
      </c>
      <c r="B325" s="417" t="s">
        <v>1877</v>
      </c>
      <c r="C325" s="417" t="s">
        <v>1400</v>
      </c>
      <c r="D325" s="416" t="s">
        <v>1878</v>
      </c>
      <c r="E325" s="417" t="s">
        <v>1403</v>
      </c>
      <c r="F325" s="418">
        <v>5</v>
      </c>
      <c r="G325" s="419">
        <v>223.94</v>
      </c>
      <c r="H325" s="418">
        <v>31.26</v>
      </c>
      <c r="I325" s="419">
        <v>293.94</v>
      </c>
      <c r="J325" s="419">
        <v>1469.7</v>
      </c>
    </row>
    <row r="326" spans="1:10" s="237" customFormat="1" ht="28.5">
      <c r="A326" s="416" t="s">
        <v>726</v>
      </c>
      <c r="B326" s="417" t="s">
        <v>2487</v>
      </c>
      <c r="C326" s="417" t="s">
        <v>1099</v>
      </c>
      <c r="D326" s="416" t="s">
        <v>1879</v>
      </c>
      <c r="E326" s="417" t="s">
        <v>1403</v>
      </c>
      <c r="F326" s="418">
        <v>2</v>
      </c>
      <c r="G326" s="419">
        <v>63.87</v>
      </c>
      <c r="H326" s="418">
        <v>31.26</v>
      </c>
      <c r="I326" s="419">
        <v>83.84</v>
      </c>
      <c r="J326" s="419">
        <v>167.68</v>
      </c>
    </row>
    <row r="327" spans="1:10" s="237" customFormat="1" ht="42.75">
      <c r="A327" s="416" t="s">
        <v>727</v>
      </c>
      <c r="B327" s="417" t="s">
        <v>2488</v>
      </c>
      <c r="C327" s="417" t="s">
        <v>1099</v>
      </c>
      <c r="D327" s="416" t="s">
        <v>1880</v>
      </c>
      <c r="E327" s="417" t="s">
        <v>1403</v>
      </c>
      <c r="F327" s="418">
        <v>3</v>
      </c>
      <c r="G327" s="419">
        <v>92.39</v>
      </c>
      <c r="H327" s="418">
        <v>31.26</v>
      </c>
      <c r="I327" s="419">
        <v>121.27</v>
      </c>
      <c r="J327" s="419">
        <v>363.81</v>
      </c>
    </row>
    <row r="328" spans="1:10" s="237" customFormat="1" ht="14.25">
      <c r="A328" s="416" t="s">
        <v>1369</v>
      </c>
      <c r="B328" s="417" t="s">
        <v>1049</v>
      </c>
      <c r="C328" s="417" t="s">
        <v>1396</v>
      </c>
      <c r="D328" s="416" t="s">
        <v>1881</v>
      </c>
      <c r="E328" s="417" t="s">
        <v>1403</v>
      </c>
      <c r="F328" s="418">
        <v>1</v>
      </c>
      <c r="G328" s="419">
        <v>2484.23</v>
      </c>
      <c r="H328" s="418">
        <v>31.26</v>
      </c>
      <c r="I328" s="419">
        <v>3260.8</v>
      </c>
      <c r="J328" s="419">
        <v>3260.8</v>
      </c>
    </row>
    <row r="329" spans="1:10" s="237" customFormat="1" ht="28.5">
      <c r="A329" s="416" t="s">
        <v>728</v>
      </c>
      <c r="B329" s="417" t="s">
        <v>1882</v>
      </c>
      <c r="C329" s="417" t="s">
        <v>1400</v>
      </c>
      <c r="D329" s="416" t="s">
        <v>1883</v>
      </c>
      <c r="E329" s="417" t="s">
        <v>1403</v>
      </c>
      <c r="F329" s="418">
        <v>1</v>
      </c>
      <c r="G329" s="419">
        <v>371.46</v>
      </c>
      <c r="H329" s="418">
        <v>31.26</v>
      </c>
      <c r="I329" s="419">
        <v>487.58</v>
      </c>
      <c r="J329" s="419">
        <v>487.58</v>
      </c>
    </row>
    <row r="330" spans="1:10" s="237" customFormat="1" ht="57">
      <c r="A330" s="416" t="s">
        <v>729</v>
      </c>
      <c r="B330" s="417" t="s">
        <v>1709</v>
      </c>
      <c r="C330" s="417" t="s">
        <v>1400</v>
      </c>
      <c r="D330" s="416" t="s">
        <v>1710</v>
      </c>
      <c r="E330" s="417" t="s">
        <v>1403</v>
      </c>
      <c r="F330" s="418">
        <v>1</v>
      </c>
      <c r="G330" s="419">
        <v>1407.36</v>
      </c>
      <c r="H330" s="418">
        <v>31.26</v>
      </c>
      <c r="I330" s="419">
        <v>1847.3</v>
      </c>
      <c r="J330" s="419">
        <v>1847.3</v>
      </c>
    </row>
    <row r="331" spans="1:10" s="237" customFormat="1" ht="15" customHeight="1">
      <c r="A331" s="241" t="s">
        <v>1884</v>
      </c>
      <c r="B331" s="242" t="s">
        <v>1080</v>
      </c>
      <c r="C331" s="242"/>
      <c r="D331" s="242"/>
      <c r="E331" s="242"/>
      <c r="F331" s="242"/>
      <c r="G331" s="242"/>
      <c r="H331" s="242"/>
      <c r="I331" s="242"/>
      <c r="J331" s="243">
        <v>245261.45</v>
      </c>
    </row>
    <row r="332" spans="1:10" s="237" customFormat="1" ht="15" customHeight="1">
      <c r="A332" s="241" t="s">
        <v>732</v>
      </c>
      <c r="B332" s="242" t="s">
        <v>733</v>
      </c>
      <c r="C332" s="242"/>
      <c r="D332" s="242"/>
      <c r="E332" s="242"/>
      <c r="F332" s="242"/>
      <c r="G332" s="242"/>
      <c r="H332" s="242"/>
      <c r="I332" s="242"/>
      <c r="J332" s="243">
        <v>55902.6</v>
      </c>
    </row>
    <row r="333" spans="1:10" s="237" customFormat="1" ht="42.75">
      <c r="A333" s="416" t="s">
        <v>734</v>
      </c>
      <c r="B333" s="417" t="s">
        <v>1885</v>
      </c>
      <c r="C333" s="417" t="s">
        <v>1400</v>
      </c>
      <c r="D333" s="416" t="s">
        <v>1886</v>
      </c>
      <c r="E333" s="417" t="s">
        <v>1403</v>
      </c>
      <c r="F333" s="418">
        <v>1</v>
      </c>
      <c r="G333" s="419">
        <v>84.28</v>
      </c>
      <c r="H333" s="418">
        <v>31.26</v>
      </c>
      <c r="I333" s="419">
        <v>110.63</v>
      </c>
      <c r="J333" s="419">
        <v>110.63</v>
      </c>
    </row>
    <row r="334" spans="1:10" s="237" customFormat="1" ht="57">
      <c r="A334" s="416" t="s">
        <v>735</v>
      </c>
      <c r="B334" s="417" t="s">
        <v>1887</v>
      </c>
      <c r="C334" s="417" t="s">
        <v>1400</v>
      </c>
      <c r="D334" s="416" t="s">
        <v>1888</v>
      </c>
      <c r="E334" s="417" t="s">
        <v>1403</v>
      </c>
      <c r="F334" s="418">
        <v>1</v>
      </c>
      <c r="G334" s="419">
        <v>386.9</v>
      </c>
      <c r="H334" s="418">
        <v>31.26</v>
      </c>
      <c r="I334" s="419">
        <v>507.84</v>
      </c>
      <c r="J334" s="419">
        <v>507.84</v>
      </c>
    </row>
    <row r="335" spans="1:10" s="237" customFormat="1" ht="57">
      <c r="A335" s="416" t="s">
        <v>736</v>
      </c>
      <c r="B335" s="417" t="s">
        <v>1889</v>
      </c>
      <c r="C335" s="417" t="s">
        <v>1400</v>
      </c>
      <c r="D335" s="416" t="s">
        <v>1890</v>
      </c>
      <c r="E335" s="417" t="s">
        <v>1403</v>
      </c>
      <c r="F335" s="418">
        <v>1</v>
      </c>
      <c r="G335" s="419">
        <v>1300.94</v>
      </c>
      <c r="H335" s="418">
        <v>31.26</v>
      </c>
      <c r="I335" s="419">
        <v>1707.61</v>
      </c>
      <c r="J335" s="419">
        <v>1707.61</v>
      </c>
    </row>
    <row r="336" spans="1:10" s="237" customFormat="1" ht="57">
      <c r="A336" s="416" t="s">
        <v>738</v>
      </c>
      <c r="B336" s="417" t="s">
        <v>1891</v>
      </c>
      <c r="C336" s="417" t="s">
        <v>1400</v>
      </c>
      <c r="D336" s="416" t="s">
        <v>1892</v>
      </c>
      <c r="E336" s="417" t="s">
        <v>1403</v>
      </c>
      <c r="F336" s="418">
        <v>3</v>
      </c>
      <c r="G336" s="419">
        <v>919.44</v>
      </c>
      <c r="H336" s="418">
        <v>31.26</v>
      </c>
      <c r="I336" s="419">
        <v>1206.8599999999999</v>
      </c>
      <c r="J336" s="419">
        <v>3620.58</v>
      </c>
    </row>
    <row r="337" spans="1:10" s="237" customFormat="1" ht="57">
      <c r="A337" s="416" t="s">
        <v>1372</v>
      </c>
      <c r="B337" s="417" t="s">
        <v>2489</v>
      </c>
      <c r="C337" s="417" t="s">
        <v>1099</v>
      </c>
      <c r="D337" s="416" t="s">
        <v>1893</v>
      </c>
      <c r="E337" s="417" t="s">
        <v>1403</v>
      </c>
      <c r="F337" s="418">
        <v>1</v>
      </c>
      <c r="G337" s="419">
        <v>38058.769999999997</v>
      </c>
      <c r="H337" s="418">
        <v>31.26</v>
      </c>
      <c r="I337" s="419">
        <v>49955.94</v>
      </c>
      <c r="J337" s="419">
        <v>49955.94</v>
      </c>
    </row>
    <row r="338" spans="1:10" s="237" customFormat="1" ht="15" customHeight="1">
      <c r="A338" s="241" t="s">
        <v>739</v>
      </c>
      <c r="B338" s="242" t="s">
        <v>740</v>
      </c>
      <c r="C338" s="242"/>
      <c r="D338" s="242"/>
      <c r="E338" s="242"/>
      <c r="F338" s="242"/>
      <c r="G338" s="242"/>
      <c r="H338" s="242"/>
      <c r="I338" s="242"/>
      <c r="J338" s="243">
        <v>6335.07</v>
      </c>
    </row>
    <row r="339" spans="1:10" s="237" customFormat="1" ht="28.5">
      <c r="A339" s="416" t="s">
        <v>741</v>
      </c>
      <c r="B339" s="417" t="s">
        <v>1301</v>
      </c>
      <c r="C339" s="417" t="s">
        <v>1396</v>
      </c>
      <c r="D339" s="416" t="s">
        <v>1894</v>
      </c>
      <c r="E339" s="417" t="s">
        <v>1403</v>
      </c>
      <c r="F339" s="418">
        <v>4</v>
      </c>
      <c r="G339" s="419">
        <v>160.69999999999999</v>
      </c>
      <c r="H339" s="418">
        <v>31.26</v>
      </c>
      <c r="I339" s="419">
        <v>210.93</v>
      </c>
      <c r="J339" s="419">
        <v>843.72</v>
      </c>
    </row>
    <row r="340" spans="1:10" s="237" customFormat="1" ht="28.5">
      <c r="A340" s="416" t="s">
        <v>742</v>
      </c>
      <c r="B340" s="417" t="s">
        <v>1082</v>
      </c>
      <c r="C340" s="417" t="s">
        <v>1396</v>
      </c>
      <c r="D340" s="416" t="s">
        <v>1081</v>
      </c>
      <c r="E340" s="417" t="s">
        <v>1403</v>
      </c>
      <c r="F340" s="418">
        <v>7</v>
      </c>
      <c r="G340" s="419">
        <v>159.91999999999999</v>
      </c>
      <c r="H340" s="418">
        <v>31.26</v>
      </c>
      <c r="I340" s="419">
        <v>209.91</v>
      </c>
      <c r="J340" s="419">
        <v>1469.37</v>
      </c>
    </row>
    <row r="341" spans="1:10" s="237" customFormat="1" ht="28.5">
      <c r="A341" s="416" t="s">
        <v>743</v>
      </c>
      <c r="B341" s="417" t="s">
        <v>1303</v>
      </c>
      <c r="C341" s="417" t="s">
        <v>1396</v>
      </c>
      <c r="D341" s="416" t="s">
        <v>1302</v>
      </c>
      <c r="E341" s="417" t="s">
        <v>1403</v>
      </c>
      <c r="F341" s="418">
        <v>1</v>
      </c>
      <c r="G341" s="419">
        <v>160.01</v>
      </c>
      <c r="H341" s="418">
        <v>31.26</v>
      </c>
      <c r="I341" s="419">
        <v>210.03</v>
      </c>
      <c r="J341" s="419">
        <v>210.03</v>
      </c>
    </row>
    <row r="342" spans="1:10" s="237" customFormat="1" ht="28.5">
      <c r="A342" s="416" t="s">
        <v>744</v>
      </c>
      <c r="B342" s="417" t="s">
        <v>1895</v>
      </c>
      <c r="C342" s="417" t="s">
        <v>1396</v>
      </c>
      <c r="D342" s="416" t="s">
        <v>1050</v>
      </c>
      <c r="E342" s="417" t="s">
        <v>1403</v>
      </c>
      <c r="F342" s="418">
        <v>1</v>
      </c>
      <c r="G342" s="419">
        <v>171.35</v>
      </c>
      <c r="H342" s="418">
        <v>31.26</v>
      </c>
      <c r="I342" s="419">
        <v>224.91</v>
      </c>
      <c r="J342" s="419">
        <v>224.91</v>
      </c>
    </row>
    <row r="343" spans="1:10" s="237" customFormat="1" ht="28.5">
      <c r="A343" s="416" t="s">
        <v>746</v>
      </c>
      <c r="B343" s="417" t="s">
        <v>1896</v>
      </c>
      <c r="C343" s="417" t="s">
        <v>1400</v>
      </c>
      <c r="D343" s="416" t="s">
        <v>1897</v>
      </c>
      <c r="E343" s="417" t="s">
        <v>1403</v>
      </c>
      <c r="F343" s="418">
        <v>40</v>
      </c>
      <c r="G343" s="419">
        <v>10.210000000000001</v>
      </c>
      <c r="H343" s="418">
        <v>31.26</v>
      </c>
      <c r="I343" s="419">
        <v>13.4</v>
      </c>
      <c r="J343" s="419">
        <v>536</v>
      </c>
    </row>
    <row r="344" spans="1:10" s="237" customFormat="1" ht="28.5">
      <c r="A344" s="416" t="s">
        <v>748</v>
      </c>
      <c r="B344" s="417" t="s">
        <v>1898</v>
      </c>
      <c r="C344" s="417" t="s">
        <v>1400</v>
      </c>
      <c r="D344" s="416" t="s">
        <v>1899</v>
      </c>
      <c r="E344" s="417" t="s">
        <v>1403</v>
      </c>
      <c r="F344" s="418">
        <v>6</v>
      </c>
      <c r="G344" s="419">
        <v>10.94</v>
      </c>
      <c r="H344" s="418">
        <v>31.26</v>
      </c>
      <c r="I344" s="419">
        <v>14.36</v>
      </c>
      <c r="J344" s="419">
        <v>86.16</v>
      </c>
    </row>
    <row r="345" spans="1:10" s="237" customFormat="1" ht="28.5">
      <c r="A345" s="416" t="s">
        <v>750</v>
      </c>
      <c r="B345" s="417" t="s">
        <v>1900</v>
      </c>
      <c r="C345" s="417" t="s">
        <v>1400</v>
      </c>
      <c r="D345" s="416" t="s">
        <v>1901</v>
      </c>
      <c r="E345" s="417" t="s">
        <v>1403</v>
      </c>
      <c r="F345" s="418">
        <v>11</v>
      </c>
      <c r="G345" s="419">
        <v>12.33</v>
      </c>
      <c r="H345" s="418">
        <v>31.26</v>
      </c>
      <c r="I345" s="419">
        <v>16.18</v>
      </c>
      <c r="J345" s="419">
        <v>177.98</v>
      </c>
    </row>
    <row r="346" spans="1:10" s="237" customFormat="1" ht="28.5">
      <c r="A346" s="416" t="s">
        <v>751</v>
      </c>
      <c r="B346" s="417" t="s">
        <v>1902</v>
      </c>
      <c r="C346" s="417" t="s">
        <v>1400</v>
      </c>
      <c r="D346" s="416" t="s">
        <v>1903</v>
      </c>
      <c r="E346" s="417" t="s">
        <v>1403</v>
      </c>
      <c r="F346" s="418">
        <v>2</v>
      </c>
      <c r="G346" s="419">
        <v>20.22</v>
      </c>
      <c r="H346" s="418">
        <v>31.26</v>
      </c>
      <c r="I346" s="419">
        <v>26.54</v>
      </c>
      <c r="J346" s="419">
        <v>53.08</v>
      </c>
    </row>
    <row r="347" spans="1:10" s="237" customFormat="1" ht="28.5">
      <c r="A347" s="416" t="s">
        <v>904</v>
      </c>
      <c r="B347" s="417" t="s">
        <v>1904</v>
      </c>
      <c r="C347" s="417" t="s">
        <v>1400</v>
      </c>
      <c r="D347" s="416" t="s">
        <v>1905</v>
      </c>
      <c r="E347" s="417" t="s">
        <v>1403</v>
      </c>
      <c r="F347" s="418">
        <v>1</v>
      </c>
      <c r="G347" s="419">
        <v>59.47</v>
      </c>
      <c r="H347" s="418">
        <v>31.26</v>
      </c>
      <c r="I347" s="419">
        <v>78.06</v>
      </c>
      <c r="J347" s="419">
        <v>78.06</v>
      </c>
    </row>
    <row r="348" spans="1:10" s="237" customFormat="1" ht="28.5">
      <c r="A348" s="416" t="s">
        <v>905</v>
      </c>
      <c r="B348" s="417" t="s">
        <v>1906</v>
      </c>
      <c r="C348" s="417" t="s">
        <v>1400</v>
      </c>
      <c r="D348" s="416" t="s">
        <v>1907</v>
      </c>
      <c r="E348" s="417" t="s">
        <v>1403</v>
      </c>
      <c r="F348" s="418">
        <v>1</v>
      </c>
      <c r="G348" s="419">
        <v>65.86</v>
      </c>
      <c r="H348" s="418">
        <v>31.26</v>
      </c>
      <c r="I348" s="419">
        <v>86.45</v>
      </c>
      <c r="J348" s="419">
        <v>86.45</v>
      </c>
    </row>
    <row r="349" spans="1:10" s="237" customFormat="1" ht="28.5">
      <c r="A349" s="416" t="s">
        <v>752</v>
      </c>
      <c r="B349" s="417" t="s">
        <v>1908</v>
      </c>
      <c r="C349" s="417" t="s">
        <v>1400</v>
      </c>
      <c r="D349" s="416" t="s">
        <v>1909</v>
      </c>
      <c r="E349" s="417" t="s">
        <v>1403</v>
      </c>
      <c r="F349" s="418">
        <v>4</v>
      </c>
      <c r="G349" s="419">
        <v>70.98</v>
      </c>
      <c r="H349" s="418">
        <v>31.26</v>
      </c>
      <c r="I349" s="419">
        <v>93.17</v>
      </c>
      <c r="J349" s="419">
        <v>372.68</v>
      </c>
    </row>
    <row r="350" spans="1:10" s="237" customFormat="1" ht="28.5">
      <c r="A350" s="416" t="s">
        <v>753</v>
      </c>
      <c r="B350" s="417" t="s">
        <v>1910</v>
      </c>
      <c r="C350" s="417" t="s">
        <v>1400</v>
      </c>
      <c r="D350" s="416" t="s">
        <v>1911</v>
      </c>
      <c r="E350" s="417" t="s">
        <v>1403</v>
      </c>
      <c r="F350" s="418">
        <v>2</v>
      </c>
      <c r="G350" s="419">
        <v>79.14</v>
      </c>
      <c r="H350" s="418">
        <v>31.26</v>
      </c>
      <c r="I350" s="419">
        <v>103.88</v>
      </c>
      <c r="J350" s="419">
        <v>207.76</v>
      </c>
    </row>
    <row r="351" spans="1:10" s="237" customFormat="1" ht="28.5">
      <c r="A351" s="416" t="s">
        <v>754</v>
      </c>
      <c r="B351" s="417" t="s">
        <v>1309</v>
      </c>
      <c r="C351" s="417" t="s">
        <v>1396</v>
      </c>
      <c r="D351" s="416" t="s">
        <v>1308</v>
      </c>
      <c r="E351" s="417" t="s">
        <v>1403</v>
      </c>
      <c r="F351" s="418">
        <v>4</v>
      </c>
      <c r="G351" s="419">
        <v>99.38</v>
      </c>
      <c r="H351" s="418">
        <v>31.26</v>
      </c>
      <c r="I351" s="419">
        <v>130.44999999999999</v>
      </c>
      <c r="J351" s="419">
        <v>521.79999999999995</v>
      </c>
    </row>
    <row r="352" spans="1:10" s="237" customFormat="1" ht="28.5">
      <c r="A352" s="416" t="s">
        <v>755</v>
      </c>
      <c r="B352" s="417" t="s">
        <v>1912</v>
      </c>
      <c r="C352" s="417" t="s">
        <v>1400</v>
      </c>
      <c r="D352" s="416" t="s">
        <v>1913</v>
      </c>
      <c r="E352" s="417" t="s">
        <v>1403</v>
      </c>
      <c r="F352" s="418">
        <v>1</v>
      </c>
      <c r="G352" s="419">
        <v>1117.68</v>
      </c>
      <c r="H352" s="418">
        <v>31.26</v>
      </c>
      <c r="I352" s="419">
        <v>1467.07</v>
      </c>
      <c r="J352" s="419">
        <v>1467.07</v>
      </c>
    </row>
    <row r="353" spans="1:10" s="237" customFormat="1" ht="15" customHeight="1">
      <c r="A353" s="241" t="s">
        <v>756</v>
      </c>
      <c r="B353" s="242" t="s">
        <v>757</v>
      </c>
      <c r="C353" s="242"/>
      <c r="D353" s="242"/>
      <c r="E353" s="242"/>
      <c r="F353" s="242"/>
      <c r="G353" s="242"/>
      <c r="H353" s="242"/>
      <c r="I353" s="242"/>
      <c r="J353" s="243">
        <v>59296.4</v>
      </c>
    </row>
    <row r="354" spans="1:10" s="237" customFormat="1" ht="42.75">
      <c r="A354" s="416" t="s">
        <v>758</v>
      </c>
      <c r="B354" s="417" t="s">
        <v>1914</v>
      </c>
      <c r="C354" s="417" t="s">
        <v>1400</v>
      </c>
      <c r="D354" s="416" t="s">
        <v>1915</v>
      </c>
      <c r="E354" s="417" t="s">
        <v>1416</v>
      </c>
      <c r="F354" s="418">
        <v>10.68</v>
      </c>
      <c r="G354" s="419">
        <v>20.79</v>
      </c>
      <c r="H354" s="418">
        <v>31.26</v>
      </c>
      <c r="I354" s="419">
        <v>27.29</v>
      </c>
      <c r="J354" s="419">
        <v>291.45999999999998</v>
      </c>
    </row>
    <row r="355" spans="1:10" s="237" customFormat="1" ht="42.75">
      <c r="A355" s="416" t="s">
        <v>760</v>
      </c>
      <c r="B355" s="417" t="s">
        <v>1916</v>
      </c>
      <c r="C355" s="417" t="s">
        <v>1400</v>
      </c>
      <c r="D355" s="416" t="s">
        <v>1917</v>
      </c>
      <c r="E355" s="417" t="s">
        <v>1416</v>
      </c>
      <c r="F355" s="418">
        <v>62.41</v>
      </c>
      <c r="G355" s="419">
        <v>26.38</v>
      </c>
      <c r="H355" s="418">
        <v>31.26</v>
      </c>
      <c r="I355" s="419">
        <v>34.630000000000003</v>
      </c>
      <c r="J355" s="419">
        <v>2161.2600000000002</v>
      </c>
    </row>
    <row r="356" spans="1:10" s="237" customFormat="1" ht="42.75">
      <c r="A356" s="416" t="s">
        <v>761</v>
      </c>
      <c r="B356" s="417" t="s">
        <v>1918</v>
      </c>
      <c r="C356" s="417" t="s">
        <v>1400</v>
      </c>
      <c r="D356" s="416" t="s">
        <v>1919</v>
      </c>
      <c r="E356" s="417" t="s">
        <v>1416</v>
      </c>
      <c r="F356" s="418">
        <v>41.6</v>
      </c>
      <c r="G356" s="419">
        <v>11.36</v>
      </c>
      <c r="H356" s="418">
        <v>31.26</v>
      </c>
      <c r="I356" s="419">
        <v>14.91</v>
      </c>
      <c r="J356" s="419">
        <v>620.26</v>
      </c>
    </row>
    <row r="357" spans="1:10" s="237" customFormat="1" ht="42.75">
      <c r="A357" s="416" t="s">
        <v>762</v>
      </c>
      <c r="B357" s="417" t="s">
        <v>1920</v>
      </c>
      <c r="C357" s="417" t="s">
        <v>1400</v>
      </c>
      <c r="D357" s="416" t="s">
        <v>1921</v>
      </c>
      <c r="E357" s="417" t="s">
        <v>1416</v>
      </c>
      <c r="F357" s="418">
        <v>1140.03</v>
      </c>
      <c r="G357" s="419">
        <v>11.83</v>
      </c>
      <c r="H357" s="418">
        <v>31.26</v>
      </c>
      <c r="I357" s="419">
        <v>15.53</v>
      </c>
      <c r="J357" s="419">
        <v>17704.669999999998</v>
      </c>
    </row>
    <row r="358" spans="1:10" s="237" customFormat="1" ht="42.75">
      <c r="A358" s="416" t="s">
        <v>764</v>
      </c>
      <c r="B358" s="417" t="s">
        <v>1922</v>
      </c>
      <c r="C358" s="417" t="s">
        <v>1400</v>
      </c>
      <c r="D358" s="416" t="s">
        <v>1923</v>
      </c>
      <c r="E358" s="417" t="s">
        <v>1416</v>
      </c>
      <c r="F358" s="418">
        <v>11.71</v>
      </c>
      <c r="G358" s="419">
        <v>19.579999999999998</v>
      </c>
      <c r="H358" s="418">
        <v>31.26</v>
      </c>
      <c r="I358" s="419">
        <v>25.7</v>
      </c>
      <c r="J358" s="419">
        <v>300.95</v>
      </c>
    </row>
    <row r="359" spans="1:10" s="237" customFormat="1" ht="57">
      <c r="A359" s="416" t="s">
        <v>765</v>
      </c>
      <c r="B359" s="417" t="s">
        <v>2490</v>
      </c>
      <c r="C359" s="417" t="s">
        <v>1099</v>
      </c>
      <c r="D359" s="416" t="s">
        <v>1310</v>
      </c>
      <c r="E359" s="417" t="s">
        <v>1416</v>
      </c>
      <c r="F359" s="418">
        <v>89.25</v>
      </c>
      <c r="G359" s="419">
        <v>85.49</v>
      </c>
      <c r="H359" s="418">
        <v>31.26</v>
      </c>
      <c r="I359" s="419">
        <v>112.21</v>
      </c>
      <c r="J359" s="419">
        <v>10014.74</v>
      </c>
    </row>
    <row r="360" spans="1:10" s="237" customFormat="1" ht="42.75">
      <c r="A360" s="416" t="s">
        <v>766</v>
      </c>
      <c r="B360" s="417" t="s">
        <v>670</v>
      </c>
      <c r="C360" s="417" t="s">
        <v>1400</v>
      </c>
      <c r="D360" s="416" t="s">
        <v>1795</v>
      </c>
      <c r="E360" s="417" t="s">
        <v>1403</v>
      </c>
      <c r="F360" s="418">
        <v>16</v>
      </c>
      <c r="G360" s="419">
        <v>281.35000000000002</v>
      </c>
      <c r="H360" s="418">
        <v>31.26</v>
      </c>
      <c r="I360" s="419">
        <v>369.3</v>
      </c>
      <c r="J360" s="419">
        <v>5908.8</v>
      </c>
    </row>
    <row r="361" spans="1:10" s="237" customFormat="1" ht="42.75">
      <c r="A361" s="416" t="s">
        <v>768</v>
      </c>
      <c r="B361" s="417" t="s">
        <v>1924</v>
      </c>
      <c r="C361" s="417" t="s">
        <v>1400</v>
      </c>
      <c r="D361" s="416" t="s">
        <v>1925</v>
      </c>
      <c r="E361" s="417" t="s">
        <v>1403</v>
      </c>
      <c r="F361" s="418">
        <v>13</v>
      </c>
      <c r="G361" s="419">
        <v>21.08</v>
      </c>
      <c r="H361" s="418">
        <v>31.26</v>
      </c>
      <c r="I361" s="419">
        <v>27.67</v>
      </c>
      <c r="J361" s="419">
        <v>359.71</v>
      </c>
    </row>
    <row r="362" spans="1:10" s="237" customFormat="1" ht="28.5">
      <c r="A362" s="416" t="s">
        <v>769</v>
      </c>
      <c r="B362" s="417" t="s">
        <v>1926</v>
      </c>
      <c r="C362" s="417" t="s">
        <v>1400</v>
      </c>
      <c r="D362" s="416" t="s">
        <v>1927</v>
      </c>
      <c r="E362" s="417" t="s">
        <v>1403</v>
      </c>
      <c r="F362" s="418">
        <v>109</v>
      </c>
      <c r="G362" s="419">
        <v>21.96</v>
      </c>
      <c r="H362" s="418">
        <v>31.26</v>
      </c>
      <c r="I362" s="419">
        <v>28.82</v>
      </c>
      <c r="J362" s="419">
        <v>3141.38</v>
      </c>
    </row>
    <row r="363" spans="1:10" s="237" customFormat="1" ht="42.75">
      <c r="A363" s="416" t="s">
        <v>771</v>
      </c>
      <c r="B363" s="417" t="s">
        <v>1928</v>
      </c>
      <c r="C363" s="417" t="s">
        <v>1400</v>
      </c>
      <c r="D363" s="416" t="s">
        <v>1929</v>
      </c>
      <c r="E363" s="417" t="s">
        <v>1403</v>
      </c>
      <c r="F363" s="418">
        <v>379</v>
      </c>
      <c r="G363" s="419">
        <v>16.09</v>
      </c>
      <c r="H363" s="418">
        <v>31.26</v>
      </c>
      <c r="I363" s="419">
        <v>21.12</v>
      </c>
      <c r="J363" s="419">
        <v>8004.48</v>
      </c>
    </row>
    <row r="364" spans="1:10" s="237" customFormat="1" ht="42.75">
      <c r="A364" s="416" t="s">
        <v>772</v>
      </c>
      <c r="B364" s="417" t="s">
        <v>1930</v>
      </c>
      <c r="C364" s="417" t="s">
        <v>1400</v>
      </c>
      <c r="D364" s="416" t="s">
        <v>1931</v>
      </c>
      <c r="E364" s="417" t="s">
        <v>1403</v>
      </c>
      <c r="F364" s="418">
        <v>9</v>
      </c>
      <c r="G364" s="419">
        <v>23.15</v>
      </c>
      <c r="H364" s="418">
        <v>31.26</v>
      </c>
      <c r="I364" s="419">
        <v>30.39</v>
      </c>
      <c r="J364" s="419">
        <v>273.51</v>
      </c>
    </row>
    <row r="365" spans="1:10" s="237" customFormat="1" ht="42.75">
      <c r="A365" s="416" t="s">
        <v>773</v>
      </c>
      <c r="B365" s="417" t="s">
        <v>1932</v>
      </c>
      <c r="C365" s="417" t="s">
        <v>1400</v>
      </c>
      <c r="D365" s="416" t="s">
        <v>1933</v>
      </c>
      <c r="E365" s="417" t="s">
        <v>1403</v>
      </c>
      <c r="F365" s="418">
        <v>758</v>
      </c>
      <c r="G365" s="419">
        <v>9.7799999999999994</v>
      </c>
      <c r="H365" s="418">
        <v>31.26</v>
      </c>
      <c r="I365" s="419">
        <v>12.84</v>
      </c>
      <c r="J365" s="419">
        <v>9732.7199999999993</v>
      </c>
    </row>
    <row r="366" spans="1:10" s="237" customFormat="1" ht="42.75">
      <c r="A366" s="416" t="s">
        <v>775</v>
      </c>
      <c r="B366" s="417" t="s">
        <v>1934</v>
      </c>
      <c r="C366" s="417" t="s">
        <v>1400</v>
      </c>
      <c r="D366" s="416" t="s">
        <v>1935</v>
      </c>
      <c r="E366" s="417" t="s">
        <v>1403</v>
      </c>
      <c r="F366" s="418">
        <v>18</v>
      </c>
      <c r="G366" s="419">
        <v>14.68</v>
      </c>
      <c r="H366" s="418">
        <v>31.26</v>
      </c>
      <c r="I366" s="419">
        <v>19.27</v>
      </c>
      <c r="J366" s="419">
        <v>346.86</v>
      </c>
    </row>
    <row r="367" spans="1:10" s="237" customFormat="1" ht="28.5">
      <c r="A367" s="416" t="s">
        <v>777</v>
      </c>
      <c r="B367" s="417" t="s">
        <v>1052</v>
      </c>
      <c r="C367" s="417" t="s">
        <v>1396</v>
      </c>
      <c r="D367" s="416" t="s">
        <v>1051</v>
      </c>
      <c r="E367" s="417" t="s">
        <v>1403</v>
      </c>
      <c r="F367" s="418">
        <v>20</v>
      </c>
      <c r="G367" s="419">
        <v>16.59</v>
      </c>
      <c r="H367" s="418">
        <v>31.26</v>
      </c>
      <c r="I367" s="419">
        <v>21.78</v>
      </c>
      <c r="J367" s="419">
        <v>435.6</v>
      </c>
    </row>
    <row r="368" spans="1:10" s="237" customFormat="1" ht="15" customHeight="1">
      <c r="A368" s="241" t="s">
        <v>781</v>
      </c>
      <c r="B368" s="242" t="s">
        <v>782</v>
      </c>
      <c r="C368" s="242"/>
      <c r="D368" s="242"/>
      <c r="E368" s="242"/>
      <c r="F368" s="242"/>
      <c r="G368" s="242"/>
      <c r="H368" s="242"/>
      <c r="I368" s="242"/>
      <c r="J368" s="243">
        <v>102136.6</v>
      </c>
    </row>
    <row r="369" spans="1:10" s="237" customFormat="1" ht="42.75">
      <c r="A369" s="416" t="s">
        <v>783</v>
      </c>
      <c r="B369" s="417" t="s">
        <v>1936</v>
      </c>
      <c r="C369" s="417" t="s">
        <v>1400</v>
      </c>
      <c r="D369" s="416" t="s">
        <v>1937</v>
      </c>
      <c r="E369" s="417" t="s">
        <v>1416</v>
      </c>
      <c r="F369" s="418">
        <v>1192.3499999999999</v>
      </c>
      <c r="G369" s="419">
        <v>2.97</v>
      </c>
      <c r="H369" s="418">
        <v>31.26</v>
      </c>
      <c r="I369" s="419">
        <v>3.9</v>
      </c>
      <c r="J369" s="419">
        <v>4650.17</v>
      </c>
    </row>
    <row r="370" spans="1:10" s="237" customFormat="1" ht="42.75">
      <c r="A370" s="416" t="s">
        <v>785</v>
      </c>
      <c r="B370" s="417" t="s">
        <v>1938</v>
      </c>
      <c r="C370" s="417" t="s">
        <v>1400</v>
      </c>
      <c r="D370" s="416" t="s">
        <v>1939</v>
      </c>
      <c r="E370" s="417" t="s">
        <v>1416</v>
      </c>
      <c r="F370" s="418">
        <v>3127.79</v>
      </c>
      <c r="G370" s="419">
        <v>4.2300000000000004</v>
      </c>
      <c r="H370" s="418">
        <v>31.26</v>
      </c>
      <c r="I370" s="419">
        <v>5.55</v>
      </c>
      <c r="J370" s="419">
        <v>17359.23</v>
      </c>
    </row>
    <row r="371" spans="1:10" s="237" customFormat="1" ht="42.75">
      <c r="A371" s="416" t="s">
        <v>787</v>
      </c>
      <c r="B371" s="417" t="s">
        <v>1940</v>
      </c>
      <c r="C371" s="417" t="s">
        <v>1400</v>
      </c>
      <c r="D371" s="416" t="s">
        <v>1941</v>
      </c>
      <c r="E371" s="417" t="s">
        <v>1416</v>
      </c>
      <c r="F371" s="418">
        <v>283.39999999999998</v>
      </c>
      <c r="G371" s="419">
        <v>6.45</v>
      </c>
      <c r="H371" s="418">
        <v>31.26</v>
      </c>
      <c r="I371" s="419">
        <v>8.4700000000000006</v>
      </c>
      <c r="J371" s="419">
        <v>2400.4</v>
      </c>
    </row>
    <row r="372" spans="1:10" s="237" customFormat="1" ht="42.75">
      <c r="A372" s="416" t="s">
        <v>789</v>
      </c>
      <c r="B372" s="417" t="s">
        <v>1942</v>
      </c>
      <c r="C372" s="417" t="s">
        <v>1400</v>
      </c>
      <c r="D372" s="416" t="s">
        <v>1943</v>
      </c>
      <c r="E372" s="417" t="s">
        <v>1416</v>
      </c>
      <c r="F372" s="418">
        <v>650.4</v>
      </c>
      <c r="G372" s="419">
        <v>8.9499999999999993</v>
      </c>
      <c r="H372" s="418">
        <v>31.26</v>
      </c>
      <c r="I372" s="419">
        <v>11.75</v>
      </c>
      <c r="J372" s="419">
        <v>7642.2</v>
      </c>
    </row>
    <row r="373" spans="1:10" s="237" customFormat="1" ht="42.75">
      <c r="A373" s="416" t="s">
        <v>791</v>
      </c>
      <c r="B373" s="417" t="s">
        <v>1944</v>
      </c>
      <c r="C373" s="417" t="s">
        <v>1400</v>
      </c>
      <c r="D373" s="416" t="s">
        <v>1945</v>
      </c>
      <c r="E373" s="417" t="s">
        <v>1416</v>
      </c>
      <c r="F373" s="418">
        <v>103.8</v>
      </c>
      <c r="G373" s="419">
        <v>15.77</v>
      </c>
      <c r="H373" s="418">
        <v>31.26</v>
      </c>
      <c r="I373" s="419">
        <v>20.7</v>
      </c>
      <c r="J373" s="419">
        <v>2148.66</v>
      </c>
    </row>
    <row r="374" spans="1:10" s="237" customFormat="1" ht="42.75">
      <c r="A374" s="416" t="s">
        <v>792</v>
      </c>
      <c r="B374" s="417" t="s">
        <v>1946</v>
      </c>
      <c r="C374" s="417" t="s">
        <v>1400</v>
      </c>
      <c r="D374" s="416" t="s">
        <v>1947</v>
      </c>
      <c r="E374" s="417" t="s">
        <v>1416</v>
      </c>
      <c r="F374" s="418">
        <v>148.1</v>
      </c>
      <c r="G374" s="419">
        <v>22.82</v>
      </c>
      <c r="H374" s="418">
        <v>31.26</v>
      </c>
      <c r="I374" s="419">
        <v>29.95</v>
      </c>
      <c r="J374" s="419">
        <v>4435.6000000000004</v>
      </c>
    </row>
    <row r="375" spans="1:10" s="237" customFormat="1" ht="57">
      <c r="A375" s="416" t="s">
        <v>794</v>
      </c>
      <c r="B375" s="417" t="s">
        <v>1948</v>
      </c>
      <c r="C375" s="417" t="s">
        <v>1400</v>
      </c>
      <c r="D375" s="416" t="s">
        <v>1949</v>
      </c>
      <c r="E375" s="417" t="s">
        <v>1416</v>
      </c>
      <c r="F375" s="418">
        <v>6.87</v>
      </c>
      <c r="G375" s="419">
        <v>25.23</v>
      </c>
      <c r="H375" s="418">
        <v>31.26</v>
      </c>
      <c r="I375" s="419">
        <v>33.119999999999997</v>
      </c>
      <c r="J375" s="419">
        <v>227.53</v>
      </c>
    </row>
    <row r="376" spans="1:10" s="237" customFormat="1" ht="57">
      <c r="A376" s="416" t="s">
        <v>1373</v>
      </c>
      <c r="B376" s="417" t="s">
        <v>1950</v>
      </c>
      <c r="C376" s="417" t="s">
        <v>1400</v>
      </c>
      <c r="D376" s="416" t="s">
        <v>1951</v>
      </c>
      <c r="E376" s="417" t="s">
        <v>1416</v>
      </c>
      <c r="F376" s="418">
        <v>55.8</v>
      </c>
      <c r="G376" s="419">
        <v>34.68</v>
      </c>
      <c r="H376" s="418">
        <v>31.26</v>
      </c>
      <c r="I376" s="419">
        <v>45.52</v>
      </c>
      <c r="J376" s="419">
        <v>2540.02</v>
      </c>
    </row>
    <row r="377" spans="1:10" s="237" customFormat="1" ht="57">
      <c r="A377" s="416" t="s">
        <v>1374</v>
      </c>
      <c r="B377" s="417" t="s">
        <v>1952</v>
      </c>
      <c r="C377" s="417" t="s">
        <v>1400</v>
      </c>
      <c r="D377" s="416" t="s">
        <v>1953</v>
      </c>
      <c r="E377" s="417" t="s">
        <v>1416</v>
      </c>
      <c r="F377" s="418">
        <v>35.28</v>
      </c>
      <c r="G377" s="419">
        <v>50.08</v>
      </c>
      <c r="H377" s="418">
        <v>31.26</v>
      </c>
      <c r="I377" s="419">
        <v>65.739999999999995</v>
      </c>
      <c r="J377" s="419">
        <v>2319.31</v>
      </c>
    </row>
    <row r="378" spans="1:10" s="237" customFormat="1" ht="57">
      <c r="A378" s="416" t="s">
        <v>1375</v>
      </c>
      <c r="B378" s="417" t="s">
        <v>1954</v>
      </c>
      <c r="C378" s="417" t="s">
        <v>1400</v>
      </c>
      <c r="D378" s="416" t="s">
        <v>1955</v>
      </c>
      <c r="E378" s="417" t="s">
        <v>1416</v>
      </c>
      <c r="F378" s="418">
        <v>35.549999999999997</v>
      </c>
      <c r="G378" s="419">
        <v>115.79</v>
      </c>
      <c r="H378" s="418">
        <v>31.26</v>
      </c>
      <c r="I378" s="419">
        <v>151.99</v>
      </c>
      <c r="J378" s="419">
        <v>5403.24</v>
      </c>
    </row>
    <row r="379" spans="1:10" s="237" customFormat="1" ht="57">
      <c r="A379" s="416" t="s">
        <v>1376</v>
      </c>
      <c r="B379" s="417" t="s">
        <v>1956</v>
      </c>
      <c r="C379" s="417" t="s">
        <v>1400</v>
      </c>
      <c r="D379" s="416" t="s">
        <v>1957</v>
      </c>
      <c r="E379" s="417" t="s">
        <v>1416</v>
      </c>
      <c r="F379" s="418">
        <v>178.06</v>
      </c>
      <c r="G379" s="419">
        <v>226.81</v>
      </c>
      <c r="H379" s="418">
        <v>31.26</v>
      </c>
      <c r="I379" s="419">
        <v>297.70999999999998</v>
      </c>
      <c r="J379" s="419">
        <v>53010.239999999998</v>
      </c>
    </row>
    <row r="380" spans="1:10" s="237" customFormat="1" ht="15" customHeight="1">
      <c r="A380" s="241" t="s">
        <v>797</v>
      </c>
      <c r="B380" s="242" t="s">
        <v>798</v>
      </c>
      <c r="C380" s="242"/>
      <c r="D380" s="242"/>
      <c r="E380" s="242"/>
      <c r="F380" s="242"/>
      <c r="G380" s="242"/>
      <c r="H380" s="242"/>
      <c r="I380" s="242"/>
      <c r="J380" s="243">
        <v>21590.78</v>
      </c>
    </row>
    <row r="381" spans="1:10" s="237" customFormat="1" ht="42.75">
      <c r="A381" s="416" t="s">
        <v>799</v>
      </c>
      <c r="B381" s="417" t="s">
        <v>1958</v>
      </c>
      <c r="C381" s="417" t="s">
        <v>1400</v>
      </c>
      <c r="D381" s="416" t="s">
        <v>1959</v>
      </c>
      <c r="E381" s="417" t="s">
        <v>1403</v>
      </c>
      <c r="F381" s="418">
        <v>42</v>
      </c>
      <c r="G381" s="419">
        <v>49.35</v>
      </c>
      <c r="H381" s="418">
        <v>31.26</v>
      </c>
      <c r="I381" s="419">
        <v>64.78</v>
      </c>
      <c r="J381" s="419">
        <v>2720.76</v>
      </c>
    </row>
    <row r="382" spans="1:10" s="237" customFormat="1" ht="42.75">
      <c r="A382" s="416" t="s">
        <v>801</v>
      </c>
      <c r="B382" s="417" t="s">
        <v>1960</v>
      </c>
      <c r="C382" s="417" t="s">
        <v>1400</v>
      </c>
      <c r="D382" s="416" t="s">
        <v>1961</v>
      </c>
      <c r="E382" s="417" t="s">
        <v>1403</v>
      </c>
      <c r="F382" s="418">
        <v>25</v>
      </c>
      <c r="G382" s="419">
        <v>37.97</v>
      </c>
      <c r="H382" s="418">
        <v>31.26</v>
      </c>
      <c r="I382" s="419">
        <v>49.84</v>
      </c>
      <c r="J382" s="419">
        <v>1246</v>
      </c>
    </row>
    <row r="383" spans="1:10" s="237" customFormat="1" ht="42.75">
      <c r="A383" s="416" t="s">
        <v>803</v>
      </c>
      <c r="B383" s="417" t="s">
        <v>1962</v>
      </c>
      <c r="C383" s="417" t="s">
        <v>1400</v>
      </c>
      <c r="D383" s="416" t="s">
        <v>1963</v>
      </c>
      <c r="E383" s="417" t="s">
        <v>1403</v>
      </c>
      <c r="F383" s="418">
        <v>2</v>
      </c>
      <c r="G383" s="419">
        <v>33.56</v>
      </c>
      <c r="H383" s="418">
        <v>31.26</v>
      </c>
      <c r="I383" s="419">
        <v>44.05</v>
      </c>
      <c r="J383" s="419">
        <v>88.1</v>
      </c>
    </row>
    <row r="384" spans="1:10" s="237" customFormat="1" ht="42.75">
      <c r="A384" s="416" t="s">
        <v>805</v>
      </c>
      <c r="B384" s="417" t="s">
        <v>1964</v>
      </c>
      <c r="C384" s="417" t="s">
        <v>1400</v>
      </c>
      <c r="D384" s="416" t="s">
        <v>1965</v>
      </c>
      <c r="E384" s="417" t="s">
        <v>1403</v>
      </c>
      <c r="F384" s="418">
        <v>21</v>
      </c>
      <c r="G384" s="419">
        <v>51.47</v>
      </c>
      <c r="H384" s="418">
        <v>31.26</v>
      </c>
      <c r="I384" s="419">
        <v>67.56</v>
      </c>
      <c r="J384" s="419">
        <v>1418.76</v>
      </c>
    </row>
    <row r="385" spans="1:10" s="237" customFormat="1" ht="42.75">
      <c r="A385" s="416" t="s">
        <v>807</v>
      </c>
      <c r="B385" s="417" t="s">
        <v>1966</v>
      </c>
      <c r="C385" s="417" t="s">
        <v>1400</v>
      </c>
      <c r="D385" s="416" t="s">
        <v>1967</v>
      </c>
      <c r="E385" s="417" t="s">
        <v>1403</v>
      </c>
      <c r="F385" s="418">
        <v>2</v>
      </c>
      <c r="G385" s="419">
        <v>40.090000000000003</v>
      </c>
      <c r="H385" s="418">
        <v>31.26</v>
      </c>
      <c r="I385" s="419">
        <v>52.62</v>
      </c>
      <c r="J385" s="419">
        <v>105.24</v>
      </c>
    </row>
    <row r="386" spans="1:10" s="237" customFormat="1" ht="42.75">
      <c r="A386" s="416" t="s">
        <v>809</v>
      </c>
      <c r="B386" s="417" t="s">
        <v>1968</v>
      </c>
      <c r="C386" s="417" t="s">
        <v>1400</v>
      </c>
      <c r="D386" s="416" t="s">
        <v>1969</v>
      </c>
      <c r="E386" s="417" t="s">
        <v>1403</v>
      </c>
      <c r="F386" s="418">
        <v>13</v>
      </c>
      <c r="G386" s="419">
        <v>60.51</v>
      </c>
      <c r="H386" s="418">
        <v>31.26</v>
      </c>
      <c r="I386" s="419">
        <v>79.430000000000007</v>
      </c>
      <c r="J386" s="419">
        <v>1032.5899999999999</v>
      </c>
    </row>
    <row r="387" spans="1:10" s="237" customFormat="1" ht="42.75">
      <c r="A387" s="416" t="s">
        <v>811</v>
      </c>
      <c r="B387" s="417" t="s">
        <v>1970</v>
      </c>
      <c r="C387" s="417" t="s">
        <v>1400</v>
      </c>
      <c r="D387" s="416" t="s">
        <v>1971</v>
      </c>
      <c r="E387" s="417" t="s">
        <v>1403</v>
      </c>
      <c r="F387" s="418">
        <v>10</v>
      </c>
      <c r="G387" s="419">
        <v>51.65</v>
      </c>
      <c r="H387" s="418">
        <v>31.26</v>
      </c>
      <c r="I387" s="419">
        <v>67.8</v>
      </c>
      <c r="J387" s="419">
        <v>678</v>
      </c>
    </row>
    <row r="388" spans="1:10" s="237" customFormat="1" ht="42.75">
      <c r="A388" s="416" t="s">
        <v>813</v>
      </c>
      <c r="B388" s="417" t="s">
        <v>1972</v>
      </c>
      <c r="C388" s="417" t="s">
        <v>1400</v>
      </c>
      <c r="D388" s="416" t="s">
        <v>1973</v>
      </c>
      <c r="E388" s="417" t="s">
        <v>1403</v>
      </c>
      <c r="F388" s="418">
        <v>7</v>
      </c>
      <c r="G388" s="419">
        <v>54.54</v>
      </c>
      <c r="H388" s="418">
        <v>31.26</v>
      </c>
      <c r="I388" s="419">
        <v>71.59</v>
      </c>
      <c r="J388" s="419">
        <v>501.13</v>
      </c>
    </row>
    <row r="389" spans="1:10" s="237" customFormat="1" ht="42.75">
      <c r="A389" s="416" t="s">
        <v>815</v>
      </c>
      <c r="B389" s="417" t="s">
        <v>1974</v>
      </c>
      <c r="C389" s="417" t="s">
        <v>1400</v>
      </c>
      <c r="D389" s="416" t="s">
        <v>1975</v>
      </c>
      <c r="E389" s="417" t="s">
        <v>1403</v>
      </c>
      <c r="F389" s="418">
        <v>10</v>
      </c>
      <c r="G389" s="419">
        <v>61.61</v>
      </c>
      <c r="H389" s="418">
        <v>31.26</v>
      </c>
      <c r="I389" s="419">
        <v>80.87</v>
      </c>
      <c r="J389" s="419">
        <v>808.7</v>
      </c>
    </row>
    <row r="390" spans="1:10" s="237" customFormat="1" ht="42.75">
      <c r="A390" s="416" t="s">
        <v>817</v>
      </c>
      <c r="B390" s="417" t="s">
        <v>1976</v>
      </c>
      <c r="C390" s="417" t="s">
        <v>1400</v>
      </c>
      <c r="D390" s="416" t="s">
        <v>1977</v>
      </c>
      <c r="E390" s="417" t="s">
        <v>1403</v>
      </c>
      <c r="F390" s="418">
        <v>7</v>
      </c>
      <c r="G390" s="419">
        <v>71.17</v>
      </c>
      <c r="H390" s="418">
        <v>31.26</v>
      </c>
      <c r="I390" s="419">
        <v>93.42</v>
      </c>
      <c r="J390" s="419">
        <v>653.94000000000005</v>
      </c>
    </row>
    <row r="391" spans="1:10" s="237" customFormat="1" ht="42.75">
      <c r="A391" s="416" t="s">
        <v>1387</v>
      </c>
      <c r="B391" s="417" t="s">
        <v>1978</v>
      </c>
      <c r="C391" s="417" t="s">
        <v>1400</v>
      </c>
      <c r="D391" s="416" t="s">
        <v>1979</v>
      </c>
      <c r="E391" s="417" t="s">
        <v>1403</v>
      </c>
      <c r="F391" s="418">
        <v>4</v>
      </c>
      <c r="G391" s="419">
        <v>101.51</v>
      </c>
      <c r="H391" s="418">
        <v>31.26</v>
      </c>
      <c r="I391" s="419">
        <v>133.24</v>
      </c>
      <c r="J391" s="419">
        <v>532.96</v>
      </c>
    </row>
    <row r="392" spans="1:10" s="237" customFormat="1" ht="42.75">
      <c r="A392" s="416" t="s">
        <v>1388</v>
      </c>
      <c r="B392" s="417" t="s">
        <v>2491</v>
      </c>
      <c r="C392" s="417" t="s">
        <v>1099</v>
      </c>
      <c r="D392" s="416" t="s">
        <v>1379</v>
      </c>
      <c r="E392" s="417" t="s">
        <v>1403</v>
      </c>
      <c r="F392" s="418">
        <v>20</v>
      </c>
      <c r="G392" s="419">
        <v>85.86</v>
      </c>
      <c r="H392" s="418">
        <v>31.26</v>
      </c>
      <c r="I392" s="419">
        <v>112.7</v>
      </c>
      <c r="J392" s="419">
        <v>2254</v>
      </c>
    </row>
    <row r="393" spans="1:10" s="237" customFormat="1" ht="57">
      <c r="A393" s="416" t="s">
        <v>1389</v>
      </c>
      <c r="B393" s="417" t="s">
        <v>2492</v>
      </c>
      <c r="C393" s="417" t="s">
        <v>1099</v>
      </c>
      <c r="D393" s="416" t="s">
        <v>1980</v>
      </c>
      <c r="E393" s="417" t="s">
        <v>1403</v>
      </c>
      <c r="F393" s="418">
        <v>29</v>
      </c>
      <c r="G393" s="419">
        <v>119.15</v>
      </c>
      <c r="H393" s="418">
        <v>31.26</v>
      </c>
      <c r="I393" s="419">
        <v>156.4</v>
      </c>
      <c r="J393" s="419">
        <v>4535.6000000000004</v>
      </c>
    </row>
    <row r="394" spans="1:10" s="237" customFormat="1" ht="28.5">
      <c r="A394" s="416" t="s">
        <v>1390</v>
      </c>
      <c r="B394" s="417" t="s">
        <v>1981</v>
      </c>
      <c r="C394" s="417" t="s">
        <v>1400</v>
      </c>
      <c r="D394" s="416" t="s">
        <v>1982</v>
      </c>
      <c r="E394" s="417" t="s">
        <v>1403</v>
      </c>
      <c r="F394" s="418">
        <v>79</v>
      </c>
      <c r="G394" s="419">
        <v>40.07</v>
      </c>
      <c r="H394" s="418">
        <v>31.26</v>
      </c>
      <c r="I394" s="419">
        <v>52.6</v>
      </c>
      <c r="J394" s="419">
        <v>4155.3999999999996</v>
      </c>
    </row>
    <row r="395" spans="1:10" s="237" customFormat="1" ht="28.5">
      <c r="A395" s="416" t="s">
        <v>1391</v>
      </c>
      <c r="B395" s="417" t="s">
        <v>1385</v>
      </c>
      <c r="C395" s="417" t="s">
        <v>1396</v>
      </c>
      <c r="D395" s="416" t="s">
        <v>1983</v>
      </c>
      <c r="E395" s="417" t="s">
        <v>1403</v>
      </c>
      <c r="F395" s="418">
        <v>8</v>
      </c>
      <c r="G395" s="419">
        <v>81.86</v>
      </c>
      <c r="H395" s="418">
        <v>31.26</v>
      </c>
      <c r="I395" s="419">
        <v>107.45</v>
      </c>
      <c r="J395" s="419">
        <v>859.6</v>
      </c>
    </row>
    <row r="396" spans="1:10" s="237" customFormat="1" ht="15" customHeight="1">
      <c r="A396" s="241" t="s">
        <v>1984</v>
      </c>
      <c r="B396" s="242" t="s">
        <v>188</v>
      </c>
      <c r="C396" s="242"/>
      <c r="D396" s="242"/>
      <c r="E396" s="242"/>
      <c r="F396" s="242"/>
      <c r="G396" s="242"/>
      <c r="H396" s="242"/>
      <c r="I396" s="242"/>
      <c r="J396" s="243">
        <v>35813.769999999997</v>
      </c>
    </row>
    <row r="397" spans="1:10" s="237" customFormat="1" ht="15" customHeight="1">
      <c r="A397" s="241" t="s">
        <v>906</v>
      </c>
      <c r="B397" s="242" t="s">
        <v>818</v>
      </c>
      <c r="C397" s="242"/>
      <c r="D397" s="242"/>
      <c r="E397" s="242"/>
      <c r="F397" s="242"/>
      <c r="G397" s="242"/>
      <c r="H397" s="242"/>
      <c r="I397" s="242"/>
      <c r="J397" s="243">
        <v>4984.9399999999996</v>
      </c>
    </row>
    <row r="398" spans="1:10" s="237" customFormat="1" ht="28.5">
      <c r="A398" s="416" t="s">
        <v>819</v>
      </c>
      <c r="B398" s="417" t="s">
        <v>1985</v>
      </c>
      <c r="C398" s="417" t="s">
        <v>1400</v>
      </c>
      <c r="D398" s="416" t="s">
        <v>1986</v>
      </c>
      <c r="E398" s="417" t="s">
        <v>1403</v>
      </c>
      <c r="F398" s="418">
        <v>1</v>
      </c>
      <c r="G398" s="419">
        <v>1992.96</v>
      </c>
      <c r="H398" s="418">
        <v>31.26</v>
      </c>
      <c r="I398" s="419">
        <v>2615.96</v>
      </c>
      <c r="J398" s="419">
        <v>2615.96</v>
      </c>
    </row>
    <row r="399" spans="1:10" s="237" customFormat="1" ht="28.5">
      <c r="A399" s="416" t="s">
        <v>820</v>
      </c>
      <c r="B399" s="417" t="s">
        <v>1987</v>
      </c>
      <c r="C399" s="417" t="s">
        <v>1400</v>
      </c>
      <c r="D399" s="416" t="s">
        <v>1988</v>
      </c>
      <c r="E399" s="417" t="s">
        <v>1403</v>
      </c>
      <c r="F399" s="418">
        <v>3</v>
      </c>
      <c r="G399" s="419">
        <v>601.6</v>
      </c>
      <c r="H399" s="418">
        <v>31.26</v>
      </c>
      <c r="I399" s="419">
        <v>789.66</v>
      </c>
      <c r="J399" s="419">
        <v>2368.98</v>
      </c>
    </row>
    <row r="400" spans="1:10" s="237" customFormat="1" ht="15" customHeight="1">
      <c r="A400" s="241" t="s">
        <v>821</v>
      </c>
      <c r="B400" s="242" t="s">
        <v>822</v>
      </c>
      <c r="C400" s="242"/>
      <c r="D400" s="242"/>
      <c r="E400" s="242"/>
      <c r="F400" s="242"/>
      <c r="G400" s="242"/>
      <c r="H400" s="242"/>
      <c r="I400" s="242"/>
      <c r="J400" s="243">
        <v>13697.24</v>
      </c>
    </row>
    <row r="401" spans="1:10" s="237" customFormat="1" ht="28.5">
      <c r="A401" s="416" t="s">
        <v>823</v>
      </c>
      <c r="B401" s="417" t="s">
        <v>1004</v>
      </c>
      <c r="C401" s="417" t="s">
        <v>1396</v>
      </c>
      <c r="D401" s="416" t="s">
        <v>1989</v>
      </c>
      <c r="E401" s="417" t="s">
        <v>1416</v>
      </c>
      <c r="F401" s="418">
        <v>526.34</v>
      </c>
      <c r="G401" s="419">
        <v>18.329999999999998</v>
      </c>
      <c r="H401" s="418">
        <v>31.26</v>
      </c>
      <c r="I401" s="419">
        <v>24.06</v>
      </c>
      <c r="J401" s="419">
        <v>12663.74</v>
      </c>
    </row>
    <row r="402" spans="1:10" s="237" customFormat="1" ht="28.5">
      <c r="A402" s="416" t="s">
        <v>827</v>
      </c>
      <c r="B402" s="417" t="s">
        <v>999</v>
      </c>
      <c r="C402" s="417" t="s">
        <v>1400</v>
      </c>
      <c r="D402" s="416" t="s">
        <v>1990</v>
      </c>
      <c r="E402" s="417" t="s">
        <v>1416</v>
      </c>
      <c r="F402" s="418">
        <v>127.75</v>
      </c>
      <c r="G402" s="419">
        <v>6.16</v>
      </c>
      <c r="H402" s="418">
        <v>31.26</v>
      </c>
      <c r="I402" s="419">
        <v>8.09</v>
      </c>
      <c r="J402" s="419">
        <v>1033.5</v>
      </c>
    </row>
    <row r="403" spans="1:10" s="237" customFormat="1" ht="15.75">
      <c r="A403" s="241" t="s">
        <v>828</v>
      </c>
      <c r="B403" s="242" t="s">
        <v>829</v>
      </c>
      <c r="C403" s="242"/>
      <c r="D403" s="242"/>
      <c r="E403" s="242"/>
      <c r="F403" s="242"/>
      <c r="G403" s="242"/>
      <c r="H403" s="242"/>
      <c r="I403" s="242"/>
      <c r="J403" s="243">
        <v>1253.3699999999999</v>
      </c>
    </row>
    <row r="404" spans="1:10" s="237" customFormat="1" ht="28.5">
      <c r="A404" s="416" t="s">
        <v>830</v>
      </c>
      <c r="B404" s="417" t="s">
        <v>1991</v>
      </c>
      <c r="C404" s="417" t="s">
        <v>1400</v>
      </c>
      <c r="D404" s="416" t="s">
        <v>1992</v>
      </c>
      <c r="E404" s="417" t="s">
        <v>1403</v>
      </c>
      <c r="F404" s="418">
        <v>16</v>
      </c>
      <c r="G404" s="419">
        <v>46.72</v>
      </c>
      <c r="H404" s="418">
        <v>31.26</v>
      </c>
      <c r="I404" s="419">
        <v>61.32</v>
      </c>
      <c r="J404" s="419">
        <v>981.12</v>
      </c>
    </row>
    <row r="405" spans="1:10" s="237" customFormat="1" ht="28.5">
      <c r="A405" s="416" t="s">
        <v>907</v>
      </c>
      <c r="B405" s="417" t="s">
        <v>2493</v>
      </c>
      <c r="C405" s="417" t="s">
        <v>1099</v>
      </c>
      <c r="D405" s="416" t="s">
        <v>1994</v>
      </c>
      <c r="E405" s="417" t="s">
        <v>1403</v>
      </c>
      <c r="F405" s="418">
        <v>15</v>
      </c>
      <c r="G405" s="419">
        <v>13.83</v>
      </c>
      <c r="H405" s="418">
        <v>31.26</v>
      </c>
      <c r="I405" s="419">
        <v>18.149999999999999</v>
      </c>
      <c r="J405" s="419">
        <v>272.25</v>
      </c>
    </row>
    <row r="406" spans="1:10" s="237" customFormat="1" ht="15" customHeight="1">
      <c r="A406" s="241" t="s">
        <v>832</v>
      </c>
      <c r="B406" s="242" t="s">
        <v>833</v>
      </c>
      <c r="C406" s="242"/>
      <c r="D406" s="242"/>
      <c r="E406" s="242"/>
      <c r="F406" s="242"/>
      <c r="G406" s="242"/>
      <c r="H406" s="242"/>
      <c r="I406" s="242"/>
      <c r="J406" s="243">
        <v>738.6</v>
      </c>
    </row>
    <row r="407" spans="1:10" s="237" customFormat="1" ht="42.75">
      <c r="A407" s="416" t="s">
        <v>834</v>
      </c>
      <c r="B407" s="417" t="s">
        <v>670</v>
      </c>
      <c r="C407" s="417" t="s">
        <v>1400</v>
      </c>
      <c r="D407" s="416" t="s">
        <v>1795</v>
      </c>
      <c r="E407" s="417" t="s">
        <v>1403</v>
      </c>
      <c r="F407" s="418">
        <v>2</v>
      </c>
      <c r="G407" s="419">
        <v>281.35000000000002</v>
      </c>
      <c r="H407" s="418">
        <v>31.26</v>
      </c>
      <c r="I407" s="419">
        <v>369.3</v>
      </c>
      <c r="J407" s="419">
        <v>738.6</v>
      </c>
    </row>
    <row r="408" spans="1:10" s="237" customFormat="1" ht="15" customHeight="1">
      <c r="A408" s="241" t="s">
        <v>835</v>
      </c>
      <c r="B408" s="242" t="s">
        <v>757</v>
      </c>
      <c r="C408" s="242"/>
      <c r="D408" s="242"/>
      <c r="E408" s="242"/>
      <c r="F408" s="242"/>
      <c r="G408" s="242"/>
      <c r="H408" s="242"/>
      <c r="I408" s="242"/>
      <c r="J408" s="243">
        <v>15139.62</v>
      </c>
    </row>
    <row r="409" spans="1:10" s="237" customFormat="1" ht="42.75">
      <c r="A409" s="416" t="s">
        <v>836</v>
      </c>
      <c r="B409" s="417" t="s">
        <v>1914</v>
      </c>
      <c r="C409" s="417" t="s">
        <v>1400</v>
      </c>
      <c r="D409" s="416" t="s">
        <v>1915</v>
      </c>
      <c r="E409" s="417" t="s">
        <v>1416</v>
      </c>
      <c r="F409" s="418">
        <v>69.78</v>
      </c>
      <c r="G409" s="419">
        <v>20.79</v>
      </c>
      <c r="H409" s="418">
        <v>31.26</v>
      </c>
      <c r="I409" s="419">
        <v>27.29</v>
      </c>
      <c r="J409" s="419">
        <v>1904.3</v>
      </c>
    </row>
    <row r="410" spans="1:10" s="237" customFormat="1" ht="42.75">
      <c r="A410" s="416" t="s">
        <v>837</v>
      </c>
      <c r="B410" s="417" t="s">
        <v>1920</v>
      </c>
      <c r="C410" s="417" t="s">
        <v>1400</v>
      </c>
      <c r="D410" s="416" t="s">
        <v>1921</v>
      </c>
      <c r="E410" s="417" t="s">
        <v>1416</v>
      </c>
      <c r="F410" s="418">
        <v>161.61000000000001</v>
      </c>
      <c r="G410" s="419">
        <v>11.83</v>
      </c>
      <c r="H410" s="418">
        <v>31.26</v>
      </c>
      <c r="I410" s="419">
        <v>15.53</v>
      </c>
      <c r="J410" s="419">
        <v>2509.8000000000002</v>
      </c>
    </row>
    <row r="411" spans="1:10" s="237" customFormat="1" ht="42.75">
      <c r="A411" s="416" t="s">
        <v>838</v>
      </c>
      <c r="B411" s="417" t="s">
        <v>1995</v>
      </c>
      <c r="C411" s="417" t="s">
        <v>1400</v>
      </c>
      <c r="D411" s="416" t="s">
        <v>1996</v>
      </c>
      <c r="E411" s="417" t="s">
        <v>1416</v>
      </c>
      <c r="F411" s="418">
        <v>16.88</v>
      </c>
      <c r="G411" s="419">
        <v>18.57</v>
      </c>
      <c r="H411" s="418">
        <v>31.26</v>
      </c>
      <c r="I411" s="419">
        <v>24.37</v>
      </c>
      <c r="J411" s="419">
        <v>411.37</v>
      </c>
    </row>
    <row r="412" spans="1:10" s="237" customFormat="1" ht="57">
      <c r="A412" s="416" t="s">
        <v>908</v>
      </c>
      <c r="B412" s="417" t="s">
        <v>2494</v>
      </c>
      <c r="C412" s="417" t="s">
        <v>1099</v>
      </c>
      <c r="D412" s="416" t="s">
        <v>1997</v>
      </c>
      <c r="E412" s="417" t="s">
        <v>1416</v>
      </c>
      <c r="F412" s="418">
        <v>48.97</v>
      </c>
      <c r="G412" s="419">
        <v>94.93</v>
      </c>
      <c r="H412" s="418">
        <v>31.26</v>
      </c>
      <c r="I412" s="419">
        <v>124.61</v>
      </c>
      <c r="J412" s="419">
        <v>6102.15</v>
      </c>
    </row>
    <row r="413" spans="1:10" s="237" customFormat="1" ht="42.75">
      <c r="A413" s="416" t="s">
        <v>839</v>
      </c>
      <c r="B413" s="417" t="s">
        <v>1928</v>
      </c>
      <c r="C413" s="417" t="s">
        <v>1400</v>
      </c>
      <c r="D413" s="416" t="s">
        <v>1929</v>
      </c>
      <c r="E413" s="417" t="s">
        <v>1403</v>
      </c>
      <c r="F413" s="418">
        <v>90</v>
      </c>
      <c r="G413" s="419">
        <v>16.09</v>
      </c>
      <c r="H413" s="418">
        <v>31.26</v>
      </c>
      <c r="I413" s="419">
        <v>21.12</v>
      </c>
      <c r="J413" s="419">
        <v>1900.8</v>
      </c>
    </row>
    <row r="414" spans="1:10" s="237" customFormat="1" ht="42.75">
      <c r="A414" s="416" t="s">
        <v>1366</v>
      </c>
      <c r="B414" s="417" t="s">
        <v>1932</v>
      </c>
      <c r="C414" s="417" t="s">
        <v>1400</v>
      </c>
      <c r="D414" s="416" t="s">
        <v>1933</v>
      </c>
      <c r="E414" s="417" t="s">
        <v>1403</v>
      </c>
      <c r="F414" s="418">
        <v>180</v>
      </c>
      <c r="G414" s="419">
        <v>9.7799999999999994</v>
      </c>
      <c r="H414" s="418">
        <v>31.26</v>
      </c>
      <c r="I414" s="419">
        <v>12.84</v>
      </c>
      <c r="J414" s="419">
        <v>2311.1999999999998</v>
      </c>
    </row>
    <row r="415" spans="1:10" s="237" customFormat="1" ht="15" customHeight="1">
      <c r="A415" s="241" t="s">
        <v>1998</v>
      </c>
      <c r="B415" s="242" t="s">
        <v>64</v>
      </c>
      <c r="C415" s="242"/>
      <c r="D415" s="242"/>
      <c r="E415" s="242"/>
      <c r="F415" s="242"/>
      <c r="G415" s="242"/>
      <c r="H415" s="242"/>
      <c r="I415" s="242"/>
      <c r="J415" s="243">
        <v>66929.55</v>
      </c>
    </row>
    <row r="416" spans="1:10" s="237" customFormat="1" ht="28.5">
      <c r="A416" s="416" t="s">
        <v>842</v>
      </c>
      <c r="B416" s="417" t="s">
        <v>1999</v>
      </c>
      <c r="C416" s="417" t="s">
        <v>1400</v>
      </c>
      <c r="D416" s="416" t="s">
        <v>2000</v>
      </c>
      <c r="E416" s="417" t="s">
        <v>1403</v>
      </c>
      <c r="F416" s="418">
        <v>1</v>
      </c>
      <c r="G416" s="419">
        <v>131.49</v>
      </c>
      <c r="H416" s="418">
        <v>31.26</v>
      </c>
      <c r="I416" s="419">
        <v>172.59</v>
      </c>
      <c r="J416" s="419">
        <v>172.59</v>
      </c>
    </row>
    <row r="417" spans="1:10" s="237" customFormat="1" ht="28.5">
      <c r="A417" s="416" t="s">
        <v>844</v>
      </c>
      <c r="B417" s="417" t="s">
        <v>2495</v>
      </c>
      <c r="C417" s="417" t="s">
        <v>1099</v>
      </c>
      <c r="D417" s="416" t="s">
        <v>1097</v>
      </c>
      <c r="E417" s="417" t="s">
        <v>1403</v>
      </c>
      <c r="F417" s="418">
        <v>1</v>
      </c>
      <c r="G417" s="419">
        <v>63.9</v>
      </c>
      <c r="H417" s="418">
        <v>31.26</v>
      </c>
      <c r="I417" s="419">
        <v>83.88</v>
      </c>
      <c r="J417" s="419">
        <v>83.88</v>
      </c>
    </row>
    <row r="418" spans="1:10" s="237" customFormat="1" ht="28.5">
      <c r="A418" s="416" t="s">
        <v>845</v>
      </c>
      <c r="B418" s="417" t="s">
        <v>2001</v>
      </c>
      <c r="C418" s="417" t="s">
        <v>1400</v>
      </c>
      <c r="D418" s="416" t="s">
        <v>2002</v>
      </c>
      <c r="E418" s="417" t="s">
        <v>1403</v>
      </c>
      <c r="F418" s="418">
        <v>18</v>
      </c>
      <c r="G418" s="419">
        <v>71.78</v>
      </c>
      <c r="H418" s="418">
        <v>31.26</v>
      </c>
      <c r="I418" s="419">
        <v>94.22</v>
      </c>
      <c r="J418" s="419">
        <v>1695.96</v>
      </c>
    </row>
    <row r="419" spans="1:10" s="237" customFormat="1" ht="42.75">
      <c r="A419" s="416" t="s">
        <v>847</v>
      </c>
      <c r="B419" s="417" t="s">
        <v>2003</v>
      </c>
      <c r="C419" s="417" t="s">
        <v>2004</v>
      </c>
      <c r="D419" s="416" t="s">
        <v>2005</v>
      </c>
      <c r="E419" s="417" t="s">
        <v>1403</v>
      </c>
      <c r="F419" s="418">
        <v>16</v>
      </c>
      <c r="G419" s="419">
        <v>21.66</v>
      </c>
      <c r="H419" s="418">
        <v>31.26</v>
      </c>
      <c r="I419" s="419">
        <v>28.43</v>
      </c>
      <c r="J419" s="419">
        <v>454.88</v>
      </c>
    </row>
    <row r="420" spans="1:10" s="237" customFormat="1" ht="28.5">
      <c r="A420" s="416" t="s">
        <v>849</v>
      </c>
      <c r="B420" s="417" t="s">
        <v>2006</v>
      </c>
      <c r="C420" s="417" t="s">
        <v>1400</v>
      </c>
      <c r="D420" s="416" t="s">
        <v>2007</v>
      </c>
      <c r="E420" s="417" t="s">
        <v>1416</v>
      </c>
      <c r="F420" s="418">
        <v>69.25</v>
      </c>
      <c r="G420" s="419">
        <v>67.64</v>
      </c>
      <c r="H420" s="418">
        <v>31.26</v>
      </c>
      <c r="I420" s="419">
        <v>88.78</v>
      </c>
      <c r="J420" s="419">
        <v>6148.02</v>
      </c>
    </row>
    <row r="421" spans="1:10" s="237" customFormat="1" ht="28.5">
      <c r="A421" s="416" t="s">
        <v>851</v>
      </c>
      <c r="B421" s="417" t="s">
        <v>2008</v>
      </c>
      <c r="C421" s="417" t="s">
        <v>1400</v>
      </c>
      <c r="D421" s="416" t="s">
        <v>2009</v>
      </c>
      <c r="E421" s="417" t="s">
        <v>1416</v>
      </c>
      <c r="F421" s="418">
        <v>317.3</v>
      </c>
      <c r="G421" s="419">
        <v>86.4</v>
      </c>
      <c r="H421" s="418">
        <v>31.26</v>
      </c>
      <c r="I421" s="419">
        <v>113.41</v>
      </c>
      <c r="J421" s="419">
        <v>35984.99</v>
      </c>
    </row>
    <row r="422" spans="1:10" s="237" customFormat="1" ht="28.5">
      <c r="A422" s="416" t="s">
        <v>853</v>
      </c>
      <c r="B422" s="417" t="s">
        <v>2010</v>
      </c>
      <c r="C422" s="417" t="s">
        <v>1400</v>
      </c>
      <c r="D422" s="416" t="s">
        <v>2011</v>
      </c>
      <c r="E422" s="417" t="s">
        <v>1403</v>
      </c>
      <c r="F422" s="418">
        <v>12</v>
      </c>
      <c r="G422" s="419">
        <v>66.209999999999994</v>
      </c>
      <c r="H422" s="418">
        <v>31.26</v>
      </c>
      <c r="I422" s="419">
        <v>86.91</v>
      </c>
      <c r="J422" s="419">
        <v>1042.92</v>
      </c>
    </row>
    <row r="423" spans="1:10" s="237" customFormat="1" ht="57">
      <c r="A423" s="416" t="s">
        <v>855</v>
      </c>
      <c r="B423" s="417" t="s">
        <v>2012</v>
      </c>
      <c r="C423" s="417" t="s">
        <v>1400</v>
      </c>
      <c r="D423" s="416" t="s">
        <v>2013</v>
      </c>
      <c r="E423" s="417" t="s">
        <v>1403</v>
      </c>
      <c r="F423" s="418">
        <v>12</v>
      </c>
      <c r="G423" s="419">
        <v>759.32</v>
      </c>
      <c r="H423" s="418">
        <v>31.26</v>
      </c>
      <c r="I423" s="419">
        <v>996.68</v>
      </c>
      <c r="J423" s="419">
        <v>11960.16</v>
      </c>
    </row>
    <row r="424" spans="1:10" s="237" customFormat="1" ht="57">
      <c r="A424" s="416" t="s">
        <v>856</v>
      </c>
      <c r="B424" s="417" t="s">
        <v>2496</v>
      </c>
      <c r="C424" s="417" t="s">
        <v>1099</v>
      </c>
      <c r="D424" s="416" t="s">
        <v>2014</v>
      </c>
      <c r="E424" s="417" t="s">
        <v>1403</v>
      </c>
      <c r="F424" s="418">
        <v>89</v>
      </c>
      <c r="G424" s="419">
        <v>8.9</v>
      </c>
      <c r="H424" s="418">
        <v>31.26</v>
      </c>
      <c r="I424" s="419">
        <v>11.68</v>
      </c>
      <c r="J424" s="419">
        <v>1039.52</v>
      </c>
    </row>
    <row r="425" spans="1:10" s="237" customFormat="1" ht="42.75">
      <c r="A425" s="416" t="s">
        <v>857</v>
      </c>
      <c r="B425" s="417" t="s">
        <v>2015</v>
      </c>
      <c r="C425" s="417" t="s">
        <v>1400</v>
      </c>
      <c r="D425" s="416" t="s">
        <v>2016</v>
      </c>
      <c r="E425" s="417" t="s">
        <v>1403</v>
      </c>
      <c r="F425" s="418">
        <v>17</v>
      </c>
      <c r="G425" s="419">
        <v>63.79</v>
      </c>
      <c r="H425" s="418">
        <v>31.26</v>
      </c>
      <c r="I425" s="419">
        <v>83.73</v>
      </c>
      <c r="J425" s="419">
        <v>1423.41</v>
      </c>
    </row>
    <row r="426" spans="1:10" s="237" customFormat="1" ht="42.75">
      <c r="A426" s="416" t="s">
        <v>859</v>
      </c>
      <c r="B426" s="417" t="s">
        <v>2497</v>
      </c>
      <c r="C426" s="417" t="s">
        <v>1099</v>
      </c>
      <c r="D426" s="416" t="s">
        <v>2017</v>
      </c>
      <c r="E426" s="417" t="s">
        <v>1403</v>
      </c>
      <c r="F426" s="418">
        <v>18</v>
      </c>
      <c r="G426" s="419">
        <v>18.46</v>
      </c>
      <c r="H426" s="418">
        <v>31.26</v>
      </c>
      <c r="I426" s="419">
        <v>24.23</v>
      </c>
      <c r="J426" s="419">
        <v>436.14</v>
      </c>
    </row>
    <row r="427" spans="1:10" s="237" customFormat="1" ht="42.75">
      <c r="A427" s="416" t="s">
        <v>860</v>
      </c>
      <c r="B427" s="417" t="s">
        <v>2498</v>
      </c>
      <c r="C427" s="417" t="s">
        <v>1099</v>
      </c>
      <c r="D427" s="416" t="s">
        <v>2018</v>
      </c>
      <c r="E427" s="417" t="s">
        <v>1403</v>
      </c>
      <c r="F427" s="418">
        <v>55</v>
      </c>
      <c r="G427" s="419">
        <v>22.63</v>
      </c>
      <c r="H427" s="418">
        <v>31.26</v>
      </c>
      <c r="I427" s="419">
        <v>29.7</v>
      </c>
      <c r="J427" s="419">
        <v>1633.5</v>
      </c>
    </row>
    <row r="428" spans="1:10" s="237" customFormat="1" ht="42.75">
      <c r="A428" s="416" t="s">
        <v>861</v>
      </c>
      <c r="B428" s="417" t="s">
        <v>2499</v>
      </c>
      <c r="C428" s="417" t="s">
        <v>1099</v>
      </c>
      <c r="D428" s="416" t="s">
        <v>2019</v>
      </c>
      <c r="E428" s="417" t="s">
        <v>1403</v>
      </c>
      <c r="F428" s="418">
        <v>17</v>
      </c>
      <c r="G428" s="419">
        <v>26.34</v>
      </c>
      <c r="H428" s="418">
        <v>31.26</v>
      </c>
      <c r="I428" s="419">
        <v>34.57</v>
      </c>
      <c r="J428" s="419">
        <v>587.69000000000005</v>
      </c>
    </row>
    <row r="429" spans="1:10" s="237" customFormat="1" ht="28.5">
      <c r="A429" s="416" t="s">
        <v>862</v>
      </c>
      <c r="B429" s="417" t="s">
        <v>1096</v>
      </c>
      <c r="C429" s="417" t="s">
        <v>1396</v>
      </c>
      <c r="D429" s="416" t="s">
        <v>1095</v>
      </c>
      <c r="E429" s="417" t="s">
        <v>1403</v>
      </c>
      <c r="F429" s="418">
        <v>155</v>
      </c>
      <c r="G429" s="419">
        <v>3.32</v>
      </c>
      <c r="H429" s="418">
        <v>31.26</v>
      </c>
      <c r="I429" s="419">
        <v>4.3600000000000003</v>
      </c>
      <c r="J429" s="419">
        <v>675.8</v>
      </c>
    </row>
    <row r="430" spans="1:10" s="237" customFormat="1" ht="42.75">
      <c r="A430" s="416" t="s">
        <v>863</v>
      </c>
      <c r="B430" s="417" t="s">
        <v>2500</v>
      </c>
      <c r="C430" s="417" t="s">
        <v>1099</v>
      </c>
      <c r="D430" s="416" t="s">
        <v>2020</v>
      </c>
      <c r="E430" s="417" t="s">
        <v>1403</v>
      </c>
      <c r="F430" s="418">
        <v>40</v>
      </c>
      <c r="G430" s="419">
        <v>15.34</v>
      </c>
      <c r="H430" s="418">
        <v>31.26</v>
      </c>
      <c r="I430" s="419">
        <v>20.14</v>
      </c>
      <c r="J430" s="419">
        <v>805.6</v>
      </c>
    </row>
    <row r="431" spans="1:10" s="237" customFormat="1" ht="42.75">
      <c r="A431" s="416" t="s">
        <v>864</v>
      </c>
      <c r="B431" s="417" t="s">
        <v>2021</v>
      </c>
      <c r="C431" s="417" t="s">
        <v>1400</v>
      </c>
      <c r="D431" s="416" t="s">
        <v>2022</v>
      </c>
      <c r="E431" s="417" t="s">
        <v>1416</v>
      </c>
      <c r="F431" s="418">
        <v>91.7</v>
      </c>
      <c r="G431" s="419">
        <v>19.13</v>
      </c>
      <c r="H431" s="418">
        <v>31.26</v>
      </c>
      <c r="I431" s="419">
        <v>25.11</v>
      </c>
      <c r="J431" s="419">
        <v>2302.59</v>
      </c>
    </row>
    <row r="432" spans="1:10" s="237" customFormat="1" ht="42.75">
      <c r="A432" s="416" t="s">
        <v>865</v>
      </c>
      <c r="B432" s="417" t="s">
        <v>989</v>
      </c>
      <c r="C432" s="417" t="s">
        <v>1099</v>
      </c>
      <c r="D432" s="416" t="s">
        <v>988</v>
      </c>
      <c r="E432" s="417" t="s">
        <v>1452</v>
      </c>
      <c r="F432" s="418">
        <v>79</v>
      </c>
      <c r="G432" s="419">
        <v>4.6500000000000004</v>
      </c>
      <c r="H432" s="418">
        <v>31.26</v>
      </c>
      <c r="I432" s="419">
        <v>6.1</v>
      </c>
      <c r="J432" s="419">
        <v>481.9</v>
      </c>
    </row>
    <row r="433" spans="1:10" s="237" customFormat="1" ht="15" customHeight="1">
      <c r="A433" s="241" t="s">
        <v>2023</v>
      </c>
      <c r="B433" s="242" t="s">
        <v>65</v>
      </c>
      <c r="C433" s="242"/>
      <c r="D433" s="242"/>
      <c r="E433" s="242"/>
      <c r="F433" s="242"/>
      <c r="G433" s="242"/>
      <c r="H433" s="242"/>
      <c r="I433" s="242"/>
      <c r="J433" s="243">
        <v>8964.64</v>
      </c>
    </row>
    <row r="434" spans="1:10" s="237" customFormat="1" ht="71.25">
      <c r="A434" s="416" t="s">
        <v>867</v>
      </c>
      <c r="B434" s="417" t="s">
        <v>2501</v>
      </c>
      <c r="C434" s="417" t="s">
        <v>1099</v>
      </c>
      <c r="D434" s="416" t="s">
        <v>2024</v>
      </c>
      <c r="E434" s="417" t="s">
        <v>1403</v>
      </c>
      <c r="F434" s="418">
        <v>1</v>
      </c>
      <c r="G434" s="419">
        <v>4861.8</v>
      </c>
      <c r="H434" s="418">
        <v>31.26</v>
      </c>
      <c r="I434" s="419">
        <v>6381.6</v>
      </c>
      <c r="J434" s="419">
        <v>6381.6</v>
      </c>
    </row>
    <row r="435" spans="1:10" s="237" customFormat="1" ht="71.25">
      <c r="A435" s="416" t="s">
        <v>868</v>
      </c>
      <c r="B435" s="417" t="s">
        <v>2502</v>
      </c>
      <c r="C435" s="417" t="s">
        <v>1099</v>
      </c>
      <c r="D435" s="416" t="s">
        <v>1091</v>
      </c>
      <c r="E435" s="417" t="s">
        <v>1452</v>
      </c>
      <c r="F435" s="418">
        <v>8.8800000000000008</v>
      </c>
      <c r="G435" s="419">
        <v>65.03</v>
      </c>
      <c r="H435" s="418">
        <v>31.26</v>
      </c>
      <c r="I435" s="419">
        <v>85.36</v>
      </c>
      <c r="J435" s="419">
        <v>758</v>
      </c>
    </row>
    <row r="436" spans="1:10" s="237" customFormat="1" ht="42.75">
      <c r="A436" s="416" t="s">
        <v>958</v>
      </c>
      <c r="B436" s="417" t="s">
        <v>2503</v>
      </c>
      <c r="C436" s="417" t="s">
        <v>1099</v>
      </c>
      <c r="D436" s="416" t="s">
        <v>2025</v>
      </c>
      <c r="E436" s="417" t="s">
        <v>1403</v>
      </c>
      <c r="F436" s="418">
        <v>1</v>
      </c>
      <c r="G436" s="419">
        <v>1390.4</v>
      </c>
      <c r="H436" s="418">
        <v>31.26</v>
      </c>
      <c r="I436" s="419">
        <v>1825.04</v>
      </c>
      <c r="J436" s="419">
        <v>1825.04</v>
      </c>
    </row>
    <row r="437" spans="1:10" s="237" customFormat="1" ht="15" customHeight="1">
      <c r="A437" s="241" t="s">
        <v>2026</v>
      </c>
      <c r="B437" s="242" t="s">
        <v>869</v>
      </c>
      <c r="C437" s="242"/>
      <c r="D437" s="242"/>
      <c r="E437" s="242"/>
      <c r="F437" s="242"/>
      <c r="G437" s="242"/>
      <c r="H437" s="242"/>
      <c r="I437" s="242"/>
      <c r="J437" s="243">
        <v>16104.77</v>
      </c>
    </row>
    <row r="438" spans="1:10" s="237" customFormat="1" ht="42.75">
      <c r="A438" s="416" t="s">
        <v>1367</v>
      </c>
      <c r="B438" s="417" t="s">
        <v>1936</v>
      </c>
      <c r="C438" s="417" t="s">
        <v>1400</v>
      </c>
      <c r="D438" s="416" t="s">
        <v>1937</v>
      </c>
      <c r="E438" s="417" t="s">
        <v>1416</v>
      </c>
      <c r="F438" s="418">
        <v>433.74</v>
      </c>
      <c r="G438" s="419">
        <v>2.97</v>
      </c>
      <c r="H438" s="418">
        <v>31.26</v>
      </c>
      <c r="I438" s="419">
        <v>3.9</v>
      </c>
      <c r="J438" s="419">
        <v>1691.59</v>
      </c>
    </row>
    <row r="439" spans="1:10" s="237" customFormat="1" ht="42.75">
      <c r="A439" s="416" t="s">
        <v>190</v>
      </c>
      <c r="B439" s="417" t="s">
        <v>2027</v>
      </c>
      <c r="C439" s="417" t="s">
        <v>1400</v>
      </c>
      <c r="D439" s="416" t="s">
        <v>2028</v>
      </c>
      <c r="E439" s="417" t="s">
        <v>1416</v>
      </c>
      <c r="F439" s="418">
        <v>144.58000000000001</v>
      </c>
      <c r="G439" s="419">
        <v>29.92</v>
      </c>
      <c r="H439" s="418">
        <v>31.26</v>
      </c>
      <c r="I439" s="419">
        <v>39.270000000000003</v>
      </c>
      <c r="J439" s="419">
        <v>5677.66</v>
      </c>
    </row>
    <row r="440" spans="1:10" s="237" customFormat="1" ht="42.75">
      <c r="A440" s="416" t="s">
        <v>191</v>
      </c>
      <c r="B440" s="417" t="s">
        <v>2029</v>
      </c>
      <c r="C440" s="417" t="s">
        <v>1400</v>
      </c>
      <c r="D440" s="416" t="s">
        <v>2030</v>
      </c>
      <c r="E440" s="417" t="s">
        <v>1416</v>
      </c>
      <c r="F440" s="418">
        <v>144.58000000000001</v>
      </c>
      <c r="G440" s="419">
        <v>46.03</v>
      </c>
      <c r="H440" s="418">
        <v>31.26</v>
      </c>
      <c r="I440" s="419">
        <v>60.42</v>
      </c>
      <c r="J440" s="419">
        <v>8735.52</v>
      </c>
    </row>
    <row r="441" spans="1:10" s="237" customFormat="1" ht="15" customHeight="1">
      <c r="A441" s="241" t="s">
        <v>2031</v>
      </c>
      <c r="B441" s="242" t="s">
        <v>66</v>
      </c>
      <c r="C441" s="242"/>
      <c r="D441" s="242"/>
      <c r="E441" s="242"/>
      <c r="F441" s="242"/>
      <c r="G441" s="242"/>
      <c r="H441" s="242"/>
      <c r="I441" s="242"/>
      <c r="J441" s="243">
        <v>77097.67</v>
      </c>
    </row>
    <row r="442" spans="1:10" s="237" customFormat="1" ht="14.25">
      <c r="A442" s="416" t="s">
        <v>193</v>
      </c>
      <c r="B442" s="417" t="s">
        <v>1058</v>
      </c>
      <c r="C442" s="417" t="s">
        <v>1396</v>
      </c>
      <c r="D442" s="416" t="s">
        <v>387</v>
      </c>
      <c r="E442" s="417" t="s">
        <v>1398</v>
      </c>
      <c r="F442" s="418">
        <v>56.35</v>
      </c>
      <c r="G442" s="419">
        <v>901.12</v>
      </c>
      <c r="H442" s="418">
        <v>31.26</v>
      </c>
      <c r="I442" s="419">
        <v>1182.81</v>
      </c>
      <c r="J442" s="419">
        <v>66651.34</v>
      </c>
    </row>
    <row r="443" spans="1:10" s="237" customFormat="1" ht="42.75">
      <c r="A443" s="416" t="s">
        <v>194</v>
      </c>
      <c r="B443" s="417" t="s">
        <v>2032</v>
      </c>
      <c r="C443" s="417" t="s">
        <v>1400</v>
      </c>
      <c r="D443" s="416" t="s">
        <v>2033</v>
      </c>
      <c r="E443" s="417" t="s">
        <v>1416</v>
      </c>
      <c r="F443" s="418">
        <v>5.13</v>
      </c>
      <c r="G443" s="419">
        <v>160.99</v>
      </c>
      <c r="H443" s="418">
        <v>31.26</v>
      </c>
      <c r="I443" s="419">
        <v>211.32</v>
      </c>
      <c r="J443" s="419">
        <v>1084.07</v>
      </c>
    </row>
    <row r="444" spans="1:10" s="237" customFormat="1" ht="28.5">
      <c r="A444" s="416" t="s">
        <v>195</v>
      </c>
      <c r="B444" s="417" t="s">
        <v>1059</v>
      </c>
      <c r="C444" s="417" t="s">
        <v>1396</v>
      </c>
      <c r="D444" s="416" t="s">
        <v>385</v>
      </c>
      <c r="E444" s="417" t="s">
        <v>1416</v>
      </c>
      <c r="F444" s="418">
        <v>6.5</v>
      </c>
      <c r="G444" s="419">
        <v>107.48</v>
      </c>
      <c r="H444" s="418">
        <v>31.26</v>
      </c>
      <c r="I444" s="419">
        <v>141.08000000000001</v>
      </c>
      <c r="J444" s="419">
        <v>917.02</v>
      </c>
    </row>
    <row r="445" spans="1:10" s="237" customFormat="1" ht="42.75">
      <c r="A445" s="416" t="s">
        <v>196</v>
      </c>
      <c r="B445" s="417" t="s">
        <v>1060</v>
      </c>
      <c r="C445" s="417" t="s">
        <v>1396</v>
      </c>
      <c r="D445" s="416" t="s">
        <v>277</v>
      </c>
      <c r="E445" s="417" t="s">
        <v>1416</v>
      </c>
      <c r="F445" s="418">
        <v>7.2</v>
      </c>
      <c r="G445" s="419">
        <v>222.47</v>
      </c>
      <c r="H445" s="418">
        <v>31.26</v>
      </c>
      <c r="I445" s="419">
        <v>292.01</v>
      </c>
      <c r="J445" s="419">
        <v>2102.4699999999998</v>
      </c>
    </row>
    <row r="446" spans="1:10" s="237" customFormat="1" ht="14.25">
      <c r="A446" s="416" t="s">
        <v>197</v>
      </c>
      <c r="B446" s="417" t="s">
        <v>894</v>
      </c>
      <c r="C446" s="417" t="s">
        <v>1396</v>
      </c>
      <c r="D446" s="416" t="s">
        <v>895</v>
      </c>
      <c r="E446" s="417" t="s">
        <v>1416</v>
      </c>
      <c r="F446" s="418">
        <v>19</v>
      </c>
      <c r="G446" s="419">
        <v>76.33</v>
      </c>
      <c r="H446" s="418">
        <v>31.26</v>
      </c>
      <c r="I446" s="419">
        <v>100.19</v>
      </c>
      <c r="J446" s="419">
        <v>1903.61</v>
      </c>
    </row>
    <row r="447" spans="1:10" s="237" customFormat="1" ht="28.5">
      <c r="A447" s="416" t="s">
        <v>1228</v>
      </c>
      <c r="B447" s="417" t="s">
        <v>1061</v>
      </c>
      <c r="C447" s="417" t="s">
        <v>1396</v>
      </c>
      <c r="D447" s="416" t="s">
        <v>957</v>
      </c>
      <c r="E447" s="417" t="s">
        <v>1403</v>
      </c>
      <c r="F447" s="418">
        <v>38</v>
      </c>
      <c r="G447" s="419">
        <v>89</v>
      </c>
      <c r="H447" s="418">
        <v>31.26</v>
      </c>
      <c r="I447" s="419">
        <v>116.82</v>
      </c>
      <c r="J447" s="419">
        <v>4439.16</v>
      </c>
    </row>
    <row r="448" spans="1:10" s="237" customFormat="1" ht="15" customHeight="1">
      <c r="A448" s="241" t="s">
        <v>2034</v>
      </c>
      <c r="B448" s="242" t="s">
        <v>1264</v>
      </c>
      <c r="C448" s="242"/>
      <c r="D448" s="242"/>
      <c r="E448" s="242"/>
      <c r="F448" s="242"/>
      <c r="G448" s="242"/>
      <c r="H448" s="242"/>
      <c r="I448" s="242"/>
      <c r="J448" s="243">
        <v>196983.92</v>
      </c>
    </row>
    <row r="449" spans="1:10" s="237" customFormat="1" ht="28.5">
      <c r="A449" s="416" t="s">
        <v>199</v>
      </c>
      <c r="B449" s="417" t="s">
        <v>1563</v>
      </c>
      <c r="C449" s="417" t="s">
        <v>1400</v>
      </c>
      <c r="D449" s="416" t="s">
        <v>1564</v>
      </c>
      <c r="E449" s="417" t="s">
        <v>1422</v>
      </c>
      <c r="F449" s="418">
        <v>32.79</v>
      </c>
      <c r="G449" s="419">
        <v>98.18</v>
      </c>
      <c r="H449" s="418">
        <v>31.26</v>
      </c>
      <c r="I449" s="419">
        <v>128.87</v>
      </c>
      <c r="J449" s="419">
        <v>4225.6499999999996</v>
      </c>
    </row>
    <row r="450" spans="1:10" s="237" customFormat="1" ht="28.5">
      <c r="A450" s="416" t="s">
        <v>200</v>
      </c>
      <c r="B450" s="417" t="s">
        <v>1432</v>
      </c>
      <c r="C450" s="417" t="s">
        <v>1400</v>
      </c>
      <c r="D450" s="416" t="s">
        <v>1433</v>
      </c>
      <c r="E450" s="417" t="s">
        <v>1398</v>
      </c>
      <c r="F450" s="418">
        <v>109.29</v>
      </c>
      <c r="G450" s="419">
        <v>7.32</v>
      </c>
      <c r="H450" s="418">
        <v>31.26</v>
      </c>
      <c r="I450" s="419">
        <v>9.61</v>
      </c>
      <c r="J450" s="419">
        <v>1050.28</v>
      </c>
    </row>
    <row r="451" spans="1:10" s="237" customFormat="1" ht="28.5">
      <c r="A451" s="416" t="s">
        <v>445</v>
      </c>
      <c r="B451" s="417" t="s">
        <v>1434</v>
      </c>
      <c r="C451" s="417" t="s">
        <v>1400</v>
      </c>
      <c r="D451" s="416" t="s">
        <v>1435</v>
      </c>
      <c r="E451" s="417" t="s">
        <v>1422</v>
      </c>
      <c r="F451" s="418">
        <v>14.95</v>
      </c>
      <c r="G451" s="419">
        <v>29.6</v>
      </c>
      <c r="H451" s="418">
        <v>31.26</v>
      </c>
      <c r="I451" s="419">
        <v>38.85</v>
      </c>
      <c r="J451" s="419">
        <v>580.80999999999995</v>
      </c>
    </row>
    <row r="452" spans="1:10" s="237" customFormat="1" ht="42.75">
      <c r="A452" s="416" t="s">
        <v>444</v>
      </c>
      <c r="B452" s="417" t="s">
        <v>2035</v>
      </c>
      <c r="C452" s="417" t="s">
        <v>1400</v>
      </c>
      <c r="D452" s="416" t="s">
        <v>2036</v>
      </c>
      <c r="E452" s="417" t="s">
        <v>1422</v>
      </c>
      <c r="F452" s="418">
        <v>2.88</v>
      </c>
      <c r="G452" s="419">
        <v>504.44</v>
      </c>
      <c r="H452" s="418">
        <v>31.26</v>
      </c>
      <c r="I452" s="419">
        <v>662.13</v>
      </c>
      <c r="J452" s="419">
        <v>1906.93</v>
      </c>
    </row>
    <row r="453" spans="1:10" s="237" customFormat="1" ht="28.5">
      <c r="A453" s="416" t="s">
        <v>253</v>
      </c>
      <c r="B453" s="417" t="s">
        <v>1469</v>
      </c>
      <c r="C453" s="417" t="s">
        <v>1400</v>
      </c>
      <c r="D453" s="416" t="s">
        <v>1470</v>
      </c>
      <c r="E453" s="417" t="s">
        <v>1398</v>
      </c>
      <c r="F453" s="418">
        <v>99.69</v>
      </c>
      <c r="G453" s="419">
        <v>32.479999999999997</v>
      </c>
      <c r="H453" s="418">
        <v>31.26</v>
      </c>
      <c r="I453" s="419">
        <v>42.63</v>
      </c>
      <c r="J453" s="419">
        <v>4249.78</v>
      </c>
    </row>
    <row r="454" spans="1:10" s="237" customFormat="1" ht="42.75">
      <c r="A454" s="416" t="s">
        <v>872</v>
      </c>
      <c r="B454" s="417" t="s">
        <v>2037</v>
      </c>
      <c r="C454" s="417" t="s">
        <v>1400</v>
      </c>
      <c r="D454" s="416" t="s">
        <v>2038</v>
      </c>
      <c r="E454" s="417" t="s">
        <v>1398</v>
      </c>
      <c r="F454" s="418">
        <v>138</v>
      </c>
      <c r="G454" s="419">
        <v>150.91999999999999</v>
      </c>
      <c r="H454" s="418">
        <v>31.26</v>
      </c>
      <c r="I454" s="419">
        <v>198.1</v>
      </c>
      <c r="J454" s="419">
        <v>27337.8</v>
      </c>
    </row>
    <row r="455" spans="1:10" s="237" customFormat="1" ht="28.5">
      <c r="A455" s="416" t="s">
        <v>873</v>
      </c>
      <c r="B455" s="417" t="s">
        <v>1474</v>
      </c>
      <c r="C455" s="417" t="s">
        <v>1400</v>
      </c>
      <c r="D455" s="416" t="s">
        <v>1475</v>
      </c>
      <c r="E455" s="417" t="s">
        <v>1398</v>
      </c>
      <c r="F455" s="418">
        <v>166.15</v>
      </c>
      <c r="G455" s="419">
        <v>43.35</v>
      </c>
      <c r="H455" s="418">
        <v>31.26</v>
      </c>
      <c r="I455" s="419">
        <v>56.9</v>
      </c>
      <c r="J455" s="419">
        <v>9453.94</v>
      </c>
    </row>
    <row r="456" spans="1:10" s="237" customFormat="1" ht="42.75">
      <c r="A456" s="416" t="s">
        <v>874</v>
      </c>
      <c r="B456" s="417" t="s">
        <v>1479</v>
      </c>
      <c r="C456" s="417" t="s">
        <v>1400</v>
      </c>
      <c r="D456" s="416" t="s">
        <v>1480</v>
      </c>
      <c r="E456" s="417" t="s">
        <v>1422</v>
      </c>
      <c r="F456" s="418">
        <v>6.08</v>
      </c>
      <c r="G456" s="419">
        <v>453.81</v>
      </c>
      <c r="H456" s="418">
        <v>31.26</v>
      </c>
      <c r="I456" s="419">
        <v>595.66999999999996</v>
      </c>
      <c r="J456" s="419">
        <v>3621.67</v>
      </c>
    </row>
    <row r="457" spans="1:10" s="237" customFormat="1" ht="42.75">
      <c r="A457" s="416" t="s">
        <v>875</v>
      </c>
      <c r="B457" s="417" t="s">
        <v>1482</v>
      </c>
      <c r="C457" s="417" t="s">
        <v>1400</v>
      </c>
      <c r="D457" s="416" t="s">
        <v>1483</v>
      </c>
      <c r="E457" s="417" t="s">
        <v>1422</v>
      </c>
      <c r="F457" s="418">
        <v>8.31</v>
      </c>
      <c r="G457" s="419">
        <v>468.01</v>
      </c>
      <c r="H457" s="418">
        <v>31.26</v>
      </c>
      <c r="I457" s="419">
        <v>614.30999999999995</v>
      </c>
      <c r="J457" s="419">
        <v>5104.92</v>
      </c>
    </row>
    <row r="458" spans="1:10" s="237" customFormat="1" ht="28.5">
      <c r="A458" s="416" t="s">
        <v>876</v>
      </c>
      <c r="B458" s="417" t="s">
        <v>1484</v>
      </c>
      <c r="C458" s="417" t="s">
        <v>1400</v>
      </c>
      <c r="D458" s="416" t="s">
        <v>1485</v>
      </c>
      <c r="E458" s="417" t="s">
        <v>1422</v>
      </c>
      <c r="F458" s="418">
        <v>14.39</v>
      </c>
      <c r="G458" s="419">
        <v>341.76</v>
      </c>
      <c r="H458" s="418">
        <v>31.26</v>
      </c>
      <c r="I458" s="419">
        <v>448.59</v>
      </c>
      <c r="J458" s="419">
        <v>6455.21</v>
      </c>
    </row>
    <row r="459" spans="1:10" s="237" customFormat="1" ht="28.5">
      <c r="A459" s="416" t="s">
        <v>877</v>
      </c>
      <c r="B459" s="417" t="s">
        <v>2039</v>
      </c>
      <c r="C459" s="417" t="s">
        <v>1400</v>
      </c>
      <c r="D459" s="416" t="s">
        <v>2040</v>
      </c>
      <c r="E459" s="417" t="s">
        <v>1452</v>
      </c>
      <c r="F459" s="418">
        <v>105.27</v>
      </c>
      <c r="G459" s="419">
        <v>19.850000000000001</v>
      </c>
      <c r="H459" s="418">
        <v>31.26</v>
      </c>
      <c r="I459" s="419">
        <v>26.06</v>
      </c>
      <c r="J459" s="419">
        <v>2743.34</v>
      </c>
    </row>
    <row r="460" spans="1:10" s="237" customFormat="1" ht="28.5">
      <c r="A460" s="416" t="s">
        <v>878</v>
      </c>
      <c r="B460" s="417" t="s">
        <v>1467</v>
      </c>
      <c r="C460" s="417" t="s">
        <v>1400</v>
      </c>
      <c r="D460" s="416" t="s">
        <v>1468</v>
      </c>
      <c r="E460" s="417" t="s">
        <v>1452</v>
      </c>
      <c r="F460" s="418">
        <v>400.69</v>
      </c>
      <c r="G460" s="419">
        <v>14.51</v>
      </c>
      <c r="H460" s="418">
        <v>31.26</v>
      </c>
      <c r="I460" s="419">
        <v>19.05</v>
      </c>
      <c r="J460" s="419">
        <v>7633.14</v>
      </c>
    </row>
    <row r="461" spans="1:10" s="237" customFormat="1" ht="42.75">
      <c r="A461" s="416" t="s">
        <v>879</v>
      </c>
      <c r="B461" s="417" t="s">
        <v>2041</v>
      </c>
      <c r="C461" s="417" t="s">
        <v>1400</v>
      </c>
      <c r="D461" s="416" t="s">
        <v>2042</v>
      </c>
      <c r="E461" s="417" t="s">
        <v>1398</v>
      </c>
      <c r="F461" s="418">
        <v>142</v>
      </c>
      <c r="G461" s="419">
        <v>112.84</v>
      </c>
      <c r="H461" s="418">
        <v>31.26</v>
      </c>
      <c r="I461" s="419">
        <v>148.11000000000001</v>
      </c>
      <c r="J461" s="419">
        <v>21031.62</v>
      </c>
    </row>
    <row r="462" spans="1:10" s="237" customFormat="1" ht="42.75">
      <c r="A462" s="416" t="s">
        <v>880</v>
      </c>
      <c r="B462" s="417" t="s">
        <v>2043</v>
      </c>
      <c r="C462" s="417" t="s">
        <v>1400</v>
      </c>
      <c r="D462" s="416" t="s">
        <v>2044</v>
      </c>
      <c r="E462" s="417" t="s">
        <v>1452</v>
      </c>
      <c r="F462" s="418">
        <v>94.09</v>
      </c>
      <c r="G462" s="419">
        <v>15.8</v>
      </c>
      <c r="H462" s="418">
        <v>31.26</v>
      </c>
      <c r="I462" s="419">
        <v>20.74</v>
      </c>
      <c r="J462" s="419">
        <v>1951.43</v>
      </c>
    </row>
    <row r="463" spans="1:10" s="237" customFormat="1" ht="42.75">
      <c r="A463" s="416" t="s">
        <v>881</v>
      </c>
      <c r="B463" s="417" t="s">
        <v>2045</v>
      </c>
      <c r="C463" s="417" t="s">
        <v>1400</v>
      </c>
      <c r="D463" s="416" t="s">
        <v>2046</v>
      </c>
      <c r="E463" s="417" t="s">
        <v>1452</v>
      </c>
      <c r="F463" s="418">
        <v>435.32</v>
      </c>
      <c r="G463" s="419">
        <v>12.4</v>
      </c>
      <c r="H463" s="418">
        <v>31.26</v>
      </c>
      <c r="I463" s="419">
        <v>16.28</v>
      </c>
      <c r="J463" s="419">
        <v>7087.01</v>
      </c>
    </row>
    <row r="464" spans="1:10" s="237" customFormat="1" ht="28.5">
      <c r="A464" s="416" t="s">
        <v>882</v>
      </c>
      <c r="B464" s="417" t="s">
        <v>2047</v>
      </c>
      <c r="C464" s="417" t="s">
        <v>1400</v>
      </c>
      <c r="D464" s="416" t="s">
        <v>2048</v>
      </c>
      <c r="E464" s="417" t="s">
        <v>1416</v>
      </c>
      <c r="F464" s="418">
        <v>115.34</v>
      </c>
      <c r="G464" s="419">
        <v>39.36</v>
      </c>
      <c r="H464" s="418">
        <v>31.26</v>
      </c>
      <c r="I464" s="419">
        <v>51.66</v>
      </c>
      <c r="J464" s="419">
        <v>5958.46</v>
      </c>
    </row>
    <row r="465" spans="1:10" s="237" customFormat="1" ht="57">
      <c r="A465" s="416" t="s">
        <v>883</v>
      </c>
      <c r="B465" s="417" t="s">
        <v>1497</v>
      </c>
      <c r="C465" s="417" t="s">
        <v>1400</v>
      </c>
      <c r="D465" s="416" t="s">
        <v>1498</v>
      </c>
      <c r="E465" s="417" t="s">
        <v>1398</v>
      </c>
      <c r="F465" s="418">
        <v>299.52999999999997</v>
      </c>
      <c r="G465" s="419">
        <v>57.92</v>
      </c>
      <c r="H465" s="418">
        <v>31.26</v>
      </c>
      <c r="I465" s="419">
        <v>76.03</v>
      </c>
      <c r="J465" s="419">
        <v>22773.27</v>
      </c>
    </row>
    <row r="466" spans="1:10" s="237" customFormat="1" ht="57">
      <c r="A466" s="416" t="s">
        <v>884</v>
      </c>
      <c r="B466" s="417" t="s">
        <v>1504</v>
      </c>
      <c r="C466" s="417" t="s">
        <v>1400</v>
      </c>
      <c r="D466" s="416" t="s">
        <v>1505</v>
      </c>
      <c r="E466" s="417" t="s">
        <v>1398</v>
      </c>
      <c r="F466" s="418">
        <v>609.99</v>
      </c>
      <c r="G466" s="419">
        <v>4.58</v>
      </c>
      <c r="H466" s="418">
        <v>31.26</v>
      </c>
      <c r="I466" s="419">
        <v>6.01</v>
      </c>
      <c r="J466" s="419">
        <v>3666.04</v>
      </c>
    </row>
    <row r="467" spans="1:10" s="237" customFormat="1" ht="57">
      <c r="A467" s="416" t="s">
        <v>885</v>
      </c>
      <c r="B467" s="417" t="s">
        <v>1506</v>
      </c>
      <c r="C467" s="417" t="s">
        <v>1400</v>
      </c>
      <c r="D467" s="416" t="s">
        <v>1507</v>
      </c>
      <c r="E467" s="417" t="s">
        <v>1398</v>
      </c>
      <c r="F467" s="418">
        <v>609.99</v>
      </c>
      <c r="G467" s="419">
        <v>46.47</v>
      </c>
      <c r="H467" s="418">
        <v>31.26</v>
      </c>
      <c r="I467" s="419">
        <v>61</v>
      </c>
      <c r="J467" s="419">
        <v>37209.39</v>
      </c>
    </row>
    <row r="468" spans="1:10" s="237" customFormat="1" ht="28.5">
      <c r="A468" s="416" t="s">
        <v>886</v>
      </c>
      <c r="B468" s="417" t="s">
        <v>2049</v>
      </c>
      <c r="C468" s="417" t="s">
        <v>1400</v>
      </c>
      <c r="D468" s="416" t="s">
        <v>2050</v>
      </c>
      <c r="E468" s="417" t="s">
        <v>1398</v>
      </c>
      <c r="F468" s="418">
        <v>609.99</v>
      </c>
      <c r="G468" s="419">
        <v>3.91</v>
      </c>
      <c r="H468" s="418">
        <v>31.26</v>
      </c>
      <c r="I468" s="419">
        <v>5.13</v>
      </c>
      <c r="J468" s="419">
        <v>3129.25</v>
      </c>
    </row>
    <row r="469" spans="1:10" s="237" customFormat="1" ht="28.5">
      <c r="A469" s="416" t="s">
        <v>887</v>
      </c>
      <c r="B469" s="417" t="s">
        <v>1603</v>
      </c>
      <c r="C469" s="417" t="s">
        <v>1400</v>
      </c>
      <c r="D469" s="416" t="s">
        <v>1604</v>
      </c>
      <c r="E469" s="417" t="s">
        <v>1398</v>
      </c>
      <c r="F469" s="418">
        <v>609.99</v>
      </c>
      <c r="G469" s="419">
        <v>13.24</v>
      </c>
      <c r="H469" s="418">
        <v>31.26</v>
      </c>
      <c r="I469" s="419">
        <v>17.38</v>
      </c>
      <c r="J469" s="419">
        <v>10601.63</v>
      </c>
    </row>
    <row r="470" spans="1:10" s="237" customFormat="1" ht="28.5">
      <c r="A470" s="416" t="s">
        <v>888</v>
      </c>
      <c r="B470" s="417" t="s">
        <v>1012</v>
      </c>
      <c r="C470" s="417" t="s">
        <v>1396</v>
      </c>
      <c r="D470" s="416" t="s">
        <v>1531</v>
      </c>
      <c r="E470" s="417" t="s">
        <v>1416</v>
      </c>
      <c r="F470" s="418">
        <v>106.28</v>
      </c>
      <c r="G470" s="419">
        <v>66.040000000000006</v>
      </c>
      <c r="H470" s="418">
        <v>31.26</v>
      </c>
      <c r="I470" s="419">
        <v>86.68</v>
      </c>
      <c r="J470" s="419">
        <v>9212.35</v>
      </c>
    </row>
    <row r="471" spans="1:10" s="237" customFormat="1" ht="15" customHeight="1">
      <c r="A471" s="241" t="s">
        <v>2051</v>
      </c>
      <c r="B471" s="242" t="s">
        <v>67</v>
      </c>
      <c r="C471" s="242"/>
      <c r="D471" s="242"/>
      <c r="E471" s="242"/>
      <c r="F471" s="242"/>
      <c r="G471" s="242"/>
      <c r="H471" s="242"/>
      <c r="I471" s="242"/>
      <c r="J471" s="243">
        <v>241772.65</v>
      </c>
    </row>
    <row r="472" spans="1:10" s="237" customFormat="1" ht="28.5">
      <c r="A472" s="416" t="s">
        <v>254</v>
      </c>
      <c r="B472" s="417" t="s">
        <v>2052</v>
      </c>
      <c r="C472" s="417" t="s">
        <v>1400</v>
      </c>
      <c r="D472" s="416" t="s">
        <v>2053</v>
      </c>
      <c r="E472" s="417" t="s">
        <v>2054</v>
      </c>
      <c r="F472" s="418">
        <v>400</v>
      </c>
      <c r="G472" s="419">
        <v>103.04</v>
      </c>
      <c r="H472" s="418">
        <v>31.26</v>
      </c>
      <c r="I472" s="419">
        <v>135.25</v>
      </c>
      <c r="J472" s="419">
        <v>54100</v>
      </c>
    </row>
    <row r="473" spans="1:10" s="237" customFormat="1" ht="14.25">
      <c r="A473" s="416" t="s">
        <v>255</v>
      </c>
      <c r="B473" s="417" t="s">
        <v>2055</v>
      </c>
      <c r="C473" s="417" t="s">
        <v>1400</v>
      </c>
      <c r="D473" s="416" t="s">
        <v>2056</v>
      </c>
      <c r="E473" s="417" t="s">
        <v>2054</v>
      </c>
      <c r="F473" s="418">
        <v>800</v>
      </c>
      <c r="G473" s="419">
        <v>40.43</v>
      </c>
      <c r="H473" s="418">
        <v>31.26</v>
      </c>
      <c r="I473" s="419">
        <v>53.07</v>
      </c>
      <c r="J473" s="419">
        <v>42456</v>
      </c>
    </row>
    <row r="474" spans="1:10" s="237" customFormat="1" ht="14.25">
      <c r="A474" s="416" t="s">
        <v>889</v>
      </c>
      <c r="B474" s="417" t="s">
        <v>2057</v>
      </c>
      <c r="C474" s="417" t="s">
        <v>1400</v>
      </c>
      <c r="D474" s="416" t="s">
        <v>2058</v>
      </c>
      <c r="E474" s="417" t="s">
        <v>2054</v>
      </c>
      <c r="F474" s="418">
        <v>1500</v>
      </c>
      <c r="G474" s="419">
        <v>31.88</v>
      </c>
      <c r="H474" s="418">
        <v>31.26</v>
      </c>
      <c r="I474" s="419">
        <v>41.85</v>
      </c>
      <c r="J474" s="419">
        <v>62775</v>
      </c>
    </row>
    <row r="475" spans="1:10" s="237" customFormat="1" ht="28.5">
      <c r="A475" s="416" t="s">
        <v>890</v>
      </c>
      <c r="B475" s="417" t="s">
        <v>2059</v>
      </c>
      <c r="C475" s="417" t="s">
        <v>1400</v>
      </c>
      <c r="D475" s="416" t="s">
        <v>948</v>
      </c>
      <c r="E475" s="417" t="s">
        <v>2054</v>
      </c>
      <c r="F475" s="418">
        <v>800</v>
      </c>
      <c r="G475" s="419">
        <v>38.630000000000003</v>
      </c>
      <c r="H475" s="418">
        <v>31.26</v>
      </c>
      <c r="I475" s="419">
        <v>50.71</v>
      </c>
      <c r="J475" s="419">
        <v>40568</v>
      </c>
    </row>
    <row r="476" spans="1:10" s="237" customFormat="1" ht="42.75">
      <c r="A476" s="416" t="s">
        <v>891</v>
      </c>
      <c r="B476" s="417" t="s">
        <v>2504</v>
      </c>
      <c r="C476" s="417" t="s">
        <v>1099</v>
      </c>
      <c r="D476" s="416" t="s">
        <v>1134</v>
      </c>
      <c r="E476" s="417" t="s">
        <v>2060</v>
      </c>
      <c r="F476" s="418">
        <v>5</v>
      </c>
      <c r="G476" s="419">
        <v>6380.26</v>
      </c>
      <c r="H476" s="418">
        <v>31.26</v>
      </c>
      <c r="I476" s="419">
        <v>8374.73</v>
      </c>
      <c r="J476" s="419">
        <v>41873.65</v>
      </c>
    </row>
    <row r="477" spans="1:10" s="237" customFormat="1" ht="15" customHeight="1">
      <c r="A477" s="241" t="s">
        <v>2061</v>
      </c>
      <c r="B477" s="242" t="s">
        <v>70</v>
      </c>
      <c r="C477" s="242"/>
      <c r="D477" s="242"/>
      <c r="E477" s="242"/>
      <c r="F477" s="242"/>
      <c r="G477" s="242"/>
      <c r="H477" s="242"/>
      <c r="I477" s="242"/>
      <c r="J477" s="243">
        <v>9089.98</v>
      </c>
    </row>
    <row r="478" spans="1:10" s="237" customFormat="1" ht="28.5">
      <c r="A478" s="416" t="s">
        <v>893</v>
      </c>
      <c r="B478" s="417" t="s">
        <v>2062</v>
      </c>
      <c r="C478" s="417" t="s">
        <v>1400</v>
      </c>
      <c r="D478" s="416" t="s">
        <v>2063</v>
      </c>
      <c r="E478" s="417" t="s">
        <v>1398</v>
      </c>
      <c r="F478" s="418">
        <v>1831.76</v>
      </c>
      <c r="G478" s="419">
        <v>2.4</v>
      </c>
      <c r="H478" s="418">
        <v>31.26</v>
      </c>
      <c r="I478" s="419">
        <v>3.15</v>
      </c>
      <c r="J478" s="419">
        <v>5770.04</v>
      </c>
    </row>
    <row r="479" spans="1:10" s="237" customFormat="1" ht="28.5">
      <c r="A479" s="416" t="s">
        <v>1120</v>
      </c>
      <c r="B479" s="417" t="s">
        <v>2064</v>
      </c>
      <c r="C479" s="417" t="s">
        <v>1400</v>
      </c>
      <c r="D479" s="416" t="s">
        <v>2065</v>
      </c>
      <c r="E479" s="417" t="s">
        <v>1398</v>
      </c>
      <c r="F479" s="418">
        <v>2553.8000000000002</v>
      </c>
      <c r="G479" s="419">
        <v>0.99</v>
      </c>
      <c r="H479" s="418">
        <v>31.26</v>
      </c>
      <c r="I479" s="419">
        <v>1.3</v>
      </c>
      <c r="J479" s="419">
        <v>3319.94</v>
      </c>
    </row>
    <row r="480" spans="1:10" s="237" customFormat="1">
      <c r="A480" s="420"/>
      <c r="B480" s="420"/>
      <c r="C480" s="420"/>
      <c r="D480" s="420"/>
      <c r="E480" s="420"/>
      <c r="F480" s="420"/>
      <c r="G480" s="420"/>
      <c r="H480" s="483" t="s">
        <v>2066</v>
      </c>
      <c r="I480" s="483"/>
      <c r="J480" s="415">
        <v>1349240.24</v>
      </c>
    </row>
    <row r="481" spans="1:10" s="237" customFormat="1">
      <c r="A481" s="420"/>
      <c r="B481" s="420"/>
      <c r="C481" s="420"/>
      <c r="D481" s="420"/>
      <c r="E481" s="420"/>
      <c r="F481" s="420"/>
      <c r="G481" s="420"/>
      <c r="H481" s="483" t="s">
        <v>2067</v>
      </c>
      <c r="I481" s="483"/>
      <c r="J481" s="415">
        <v>4628638.0199999996</v>
      </c>
    </row>
    <row r="482" spans="1:10" s="237" customFormat="1">
      <c r="A482" s="420"/>
      <c r="B482" s="420"/>
      <c r="C482" s="420"/>
      <c r="D482" s="420"/>
      <c r="E482" s="420"/>
      <c r="F482" s="420"/>
      <c r="G482" s="420"/>
      <c r="H482" s="483" t="s">
        <v>2068</v>
      </c>
      <c r="I482" s="483"/>
      <c r="J482" s="415">
        <v>5977878.2599999998</v>
      </c>
    </row>
    <row r="483" spans="1:10" ht="14.25">
      <c r="A483" s="141"/>
      <c r="B483" s="141"/>
      <c r="C483" s="141"/>
      <c r="D483" s="141"/>
      <c r="E483" s="141"/>
      <c r="F483" s="141"/>
      <c r="G483" s="141"/>
      <c r="H483" s="145"/>
      <c r="I483" s="145"/>
      <c r="J483" s="145"/>
    </row>
    <row r="484" spans="1:10" s="143" customFormat="1" ht="14.25">
      <c r="A484" s="142"/>
      <c r="B484" s="142"/>
      <c r="C484" s="142"/>
      <c r="D484" s="142"/>
      <c r="E484" s="142"/>
      <c r="F484" s="142"/>
      <c r="G484" s="142"/>
      <c r="H484" s="142"/>
      <c r="I484" s="142"/>
      <c r="J484" s="142"/>
    </row>
    <row r="485" spans="1:10" s="144" customFormat="1" ht="80.25" customHeight="1">
      <c r="A485" s="484" t="s">
        <v>1266</v>
      </c>
      <c r="B485" s="484"/>
      <c r="C485" s="484"/>
      <c r="D485" s="484"/>
      <c r="E485" s="484"/>
      <c r="F485" s="484"/>
      <c r="G485" s="484"/>
      <c r="H485" s="484"/>
      <c r="I485" s="484"/>
      <c r="J485" s="484"/>
    </row>
  </sheetData>
  <mergeCells count="17">
    <mergeCell ref="A485:J485"/>
    <mergeCell ref="A9:B10"/>
    <mergeCell ref="C9:E10"/>
    <mergeCell ref="G9:J10"/>
    <mergeCell ref="A12:J12"/>
    <mergeCell ref="H480:I480"/>
    <mergeCell ref="H481:I481"/>
    <mergeCell ref="H482:I482"/>
    <mergeCell ref="J6:J7"/>
    <mergeCell ref="A1:J1"/>
    <mergeCell ref="A3:J3"/>
    <mergeCell ref="A5:B5"/>
    <mergeCell ref="C5:E5"/>
    <mergeCell ref="G5:I5"/>
    <mergeCell ref="A6:B6"/>
    <mergeCell ref="C6:E6"/>
    <mergeCell ref="G6:I7"/>
  </mergeCells>
  <printOptions horizontalCentered="1"/>
  <pageMargins left="0.23622047244094491" right="0.23622047244094491" top="0.74803149606299213" bottom="0.74803149606299213" header="0.31496062992125984" footer="0.31496062992125984"/>
  <pageSetup paperSize="9" scale="54" fitToWidth="0" fitToHeight="0" orientation="portrait" r:id="rId1"/>
  <rowBreaks count="4" manualBreakCount="4">
    <brk id="155" max="9" man="1"/>
    <brk id="330" max="9" man="1"/>
    <brk id="445" max="9" man="1"/>
    <brk id="4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69"/>
  <sheetViews>
    <sheetView view="pageBreakPreview" topLeftCell="C1" zoomScaleNormal="90" zoomScaleSheetLayoutView="100" workbookViewId="0">
      <selection activeCell="P14" sqref="P14"/>
    </sheetView>
  </sheetViews>
  <sheetFormatPr defaultColWidth="12.625" defaultRowHeight="15" customHeight="1"/>
  <cols>
    <col min="1" max="1" width="8.5" style="128" customWidth="1"/>
    <col min="2" max="2" width="38.625" style="128" customWidth="1"/>
    <col min="3" max="3" width="13.75" style="128" customWidth="1"/>
    <col min="4" max="4" width="9" style="128" customWidth="1"/>
    <col min="5" max="5" width="11.5" style="128" customWidth="1"/>
    <col min="6" max="6" width="9" style="128" customWidth="1"/>
    <col min="7" max="7" width="10.625" style="128" customWidth="1"/>
    <col min="8" max="8" width="9" style="128" customWidth="1"/>
    <col min="9" max="9" width="9.625" style="128" customWidth="1"/>
    <col min="10" max="12" width="9" style="128" customWidth="1"/>
    <col min="13" max="13" width="13.125" style="128" customWidth="1"/>
    <col min="14" max="14" width="10.375" style="128" customWidth="1"/>
    <col min="15" max="15" width="21.625" style="189" customWidth="1"/>
    <col min="16" max="16" width="11.375" style="189" customWidth="1"/>
    <col min="17" max="17" width="9" style="128" customWidth="1"/>
    <col min="18" max="18" width="13.125" style="128" customWidth="1"/>
    <col min="19" max="19" width="8.75" style="128" bestFit="1" customWidth="1"/>
    <col min="20" max="33" width="9" style="128" customWidth="1"/>
    <col min="34" max="16384" width="12.625" style="128"/>
  </cols>
  <sheetData>
    <row r="1" spans="1:44" s="208" customFormat="1" ht="100.5" customHeight="1">
      <c r="A1" s="503"/>
      <c r="B1" s="503"/>
      <c r="C1" s="503"/>
      <c r="D1" s="503"/>
      <c r="E1" s="503"/>
      <c r="F1" s="503"/>
      <c r="G1" s="503"/>
      <c r="H1" s="503"/>
      <c r="I1" s="503"/>
      <c r="J1" s="503"/>
      <c r="K1" s="503"/>
      <c r="L1" s="503"/>
      <c r="M1" s="503"/>
      <c r="N1" s="503"/>
      <c r="AH1" s="207"/>
      <c r="AI1" s="207"/>
      <c r="AJ1" s="207"/>
      <c r="AK1" s="207"/>
    </row>
    <row r="2" spans="1:44" s="208" customFormat="1" ht="5.25" customHeight="1">
      <c r="A2" s="209"/>
      <c r="B2" s="181"/>
      <c r="C2" s="181"/>
      <c r="D2" s="210"/>
      <c r="E2" s="211"/>
      <c r="F2" s="212"/>
      <c r="G2" s="213"/>
      <c r="H2" s="213"/>
      <c r="I2" s="214"/>
      <c r="J2" s="215"/>
      <c r="K2" s="215"/>
      <c r="L2" s="215"/>
      <c r="M2" s="215"/>
      <c r="N2" s="216"/>
      <c r="O2" s="169"/>
      <c r="P2" s="169"/>
      <c r="Q2" s="169"/>
    </row>
    <row r="3" spans="1:44" s="225" customFormat="1" ht="20.25" customHeight="1">
      <c r="A3" s="561" t="str">
        <f>'ORÇAMENTO SINTÉTICO (NÃO DESON)'!$A$3:$J$3</f>
        <v>PREFEITURA MUNICIPAL DE CABO FRIO</v>
      </c>
      <c r="B3" s="561"/>
      <c r="C3" s="561"/>
      <c r="D3" s="561"/>
      <c r="E3" s="561"/>
      <c r="F3" s="561"/>
      <c r="G3" s="561"/>
      <c r="H3" s="561"/>
      <c r="I3" s="561"/>
      <c r="J3" s="561"/>
      <c r="K3" s="561"/>
      <c r="L3" s="561"/>
      <c r="M3" s="561"/>
      <c r="N3" s="561"/>
      <c r="O3" s="342"/>
      <c r="P3" s="343"/>
    </row>
    <row r="4" spans="1:44" s="208" customFormat="1" ht="5.25" customHeight="1">
      <c r="A4" s="209"/>
      <c r="B4" s="181"/>
      <c r="C4" s="181"/>
      <c r="D4" s="210"/>
      <c r="E4" s="211"/>
      <c r="F4" s="212"/>
      <c r="G4" s="213"/>
      <c r="H4" s="213"/>
      <c r="I4" s="214"/>
      <c r="J4" s="215"/>
      <c r="K4" s="215"/>
      <c r="L4" s="215"/>
      <c r="M4" s="215"/>
      <c r="N4" s="216"/>
      <c r="O4" s="169"/>
      <c r="P4" s="344"/>
    </row>
    <row r="5" spans="1:44" s="208" customFormat="1" ht="15.75" customHeight="1">
      <c r="A5" s="485" t="s">
        <v>913</v>
      </c>
      <c r="B5" s="485"/>
      <c r="C5" s="486" t="str">
        <f>'ORÇAMENTO SINTÉTICO (NÃO DESON)'!$C$5:$E$5</f>
        <v>CONSTRUÇÃO DA CRECHE ESCOLA TAMOIOS</v>
      </c>
      <c r="D5" s="504"/>
      <c r="E5" s="504"/>
      <c r="F5" s="504"/>
      <c r="G5" s="504"/>
      <c r="H5" s="504"/>
      <c r="I5" s="132"/>
      <c r="J5" s="562" t="s">
        <v>40</v>
      </c>
      <c r="K5" s="562"/>
      <c r="L5" s="562"/>
      <c r="M5" s="563">
        <f>'CÁLCULO BDI (NÃO DESON)'!$B$14</f>
        <v>0.25</v>
      </c>
      <c r="N5" s="564"/>
      <c r="O5" s="215"/>
      <c r="P5" s="344"/>
      <c r="AH5" s="216"/>
      <c r="AI5" s="216"/>
      <c r="AJ5" s="216"/>
      <c r="AK5" s="216"/>
      <c r="AL5" s="216"/>
      <c r="AM5" s="216"/>
      <c r="AN5" s="216"/>
      <c r="AO5" s="216"/>
      <c r="AP5" s="216"/>
      <c r="AQ5" s="216"/>
      <c r="AR5" s="216"/>
    </row>
    <row r="6" spans="1:44" s="208" customFormat="1" ht="18" customHeight="1">
      <c r="A6" s="485" t="s">
        <v>914</v>
      </c>
      <c r="B6" s="485"/>
      <c r="C6" s="493" t="str">
        <f>'ORÇAMENTO SINTÉTICO (NÃO DESON)'!$C$5:$E$6</f>
        <v>AV. INDEPENDÊNCIA, S/N, CONDOMÍNIO VERÃO VERMELHO, TAMOIOS</v>
      </c>
      <c r="D6" s="493"/>
      <c r="E6" s="493"/>
      <c r="F6" s="493"/>
      <c r="G6" s="493"/>
      <c r="H6" s="493"/>
      <c r="I6" s="132"/>
      <c r="J6" s="565" t="s">
        <v>455</v>
      </c>
      <c r="K6" s="565"/>
      <c r="L6" s="565"/>
      <c r="M6" s="566">
        <f>BDI!$B$13</f>
        <v>0.16800000000000001</v>
      </c>
      <c r="N6" s="567"/>
      <c r="O6" s="336"/>
      <c r="P6" s="344"/>
      <c r="AH6" s="216"/>
      <c r="AI6" s="216"/>
      <c r="AJ6" s="216"/>
      <c r="AK6" s="216"/>
      <c r="AL6" s="216"/>
      <c r="AM6" s="216"/>
      <c r="AN6" s="216"/>
      <c r="AO6" s="216"/>
      <c r="AP6" s="216"/>
      <c r="AQ6" s="216"/>
      <c r="AR6" s="216"/>
    </row>
    <row r="7" spans="1:44" s="208" customFormat="1" ht="15.75">
      <c r="A7" s="209"/>
      <c r="B7" s="181"/>
      <c r="C7" s="493"/>
      <c r="D7" s="493"/>
      <c r="E7" s="493"/>
      <c r="F7" s="493"/>
      <c r="G7" s="493"/>
      <c r="H7" s="493"/>
      <c r="I7" s="132"/>
      <c r="J7" s="565"/>
      <c r="K7" s="565"/>
      <c r="L7" s="565"/>
      <c r="M7" s="568"/>
      <c r="N7" s="569"/>
      <c r="O7" s="345"/>
      <c r="P7" s="344"/>
      <c r="AH7" s="216"/>
      <c r="AI7" s="216"/>
      <c r="AJ7" s="216"/>
      <c r="AK7" s="216"/>
      <c r="AL7" s="216"/>
      <c r="AM7" s="216"/>
      <c r="AN7" s="216"/>
      <c r="AO7" s="216"/>
      <c r="AP7" s="216"/>
      <c r="AQ7" s="216"/>
      <c r="AR7" s="216"/>
    </row>
    <row r="8" spans="1:44" s="208" customFormat="1" ht="5.25" customHeight="1">
      <c r="A8" s="209"/>
      <c r="B8" s="181"/>
      <c r="C8" s="181"/>
      <c r="D8" s="210"/>
      <c r="E8" s="211"/>
      <c r="F8" s="212"/>
      <c r="G8" s="213"/>
      <c r="H8" s="213"/>
      <c r="I8" s="214"/>
      <c r="L8" s="213"/>
      <c r="M8" s="213"/>
      <c r="N8" s="214"/>
      <c r="O8" s="169"/>
      <c r="P8" s="344"/>
    </row>
    <row r="9" spans="1:44" s="208" customFormat="1" ht="40.5" customHeight="1">
      <c r="A9" s="573" t="s">
        <v>490</v>
      </c>
      <c r="B9" s="573"/>
      <c r="C9" s="505" t="str">
        <f>'ORÇAMENTO SINTÉTICO (NÃO DESON)'!$C$9:$E$10</f>
        <v>SINAPI - SETEMBRO/2023, EMOP - AGOSTO/2023</v>
      </c>
      <c r="D9" s="505"/>
      <c r="E9" s="505"/>
      <c r="F9" s="505"/>
      <c r="G9" s="505"/>
      <c r="H9" s="505"/>
      <c r="J9" s="574" t="str">
        <f>'ORÇAMENTO SINTÉTICO (NÃO DESON)'!$G$9</f>
        <v>Encargos Sociais Não Desonerado: embutido nos preços unitário dos insumos de mão de obra, de acordo com as bases.</v>
      </c>
      <c r="K9" s="574"/>
      <c r="L9" s="574"/>
      <c r="M9" s="574"/>
      <c r="N9" s="574"/>
      <c r="O9" s="215"/>
      <c r="P9" s="344"/>
    </row>
    <row r="10" spans="1:44" s="208" customFormat="1" ht="15" customHeight="1">
      <c r="A10" s="573"/>
      <c r="B10" s="573"/>
      <c r="C10" s="505"/>
      <c r="D10" s="505"/>
      <c r="E10" s="505"/>
      <c r="F10" s="505"/>
      <c r="G10" s="505"/>
      <c r="H10" s="505"/>
      <c r="J10" s="574"/>
      <c r="K10" s="574"/>
      <c r="L10" s="574"/>
      <c r="M10" s="574"/>
      <c r="N10" s="574"/>
      <c r="O10" s="215"/>
      <c r="P10" s="344"/>
    </row>
    <row r="11" spans="1:44" s="218" customFormat="1" ht="10.5" customHeight="1">
      <c r="A11" s="217"/>
      <c r="C11" s="219"/>
      <c r="D11" s="220"/>
      <c r="E11" s="198"/>
      <c r="F11" s="217"/>
      <c r="I11" s="221"/>
      <c r="J11" s="222"/>
      <c r="K11" s="223"/>
      <c r="L11" s="223"/>
      <c r="M11" s="223"/>
      <c r="N11" s="223"/>
      <c r="O11" s="223"/>
      <c r="P11" s="223"/>
      <c r="Q11" s="223"/>
      <c r="AH11" s="224"/>
      <c r="AI11" s="224"/>
      <c r="AJ11" s="224"/>
      <c r="AK11" s="224"/>
      <c r="AL11" s="224"/>
      <c r="AM11" s="224"/>
      <c r="AN11" s="224"/>
      <c r="AO11" s="224"/>
      <c r="AP11" s="224"/>
      <c r="AQ11" s="224"/>
      <c r="AR11" s="224"/>
    </row>
    <row r="12" spans="1:44" s="225" customFormat="1" ht="20.25" customHeight="1">
      <c r="A12" s="561" t="s">
        <v>236</v>
      </c>
      <c r="B12" s="561"/>
      <c r="C12" s="561"/>
      <c r="D12" s="561"/>
      <c r="E12" s="561"/>
      <c r="F12" s="561"/>
      <c r="G12" s="561"/>
      <c r="H12" s="561"/>
      <c r="I12" s="561"/>
      <c r="J12" s="561"/>
      <c r="K12" s="561"/>
      <c r="L12" s="561"/>
      <c r="M12" s="561"/>
      <c r="N12" s="561"/>
      <c r="O12" s="342"/>
      <c r="P12" s="343"/>
    </row>
    <row r="13" spans="1:44" ht="4.9000000000000004" customHeight="1">
      <c r="A13" s="186"/>
      <c r="B13" s="129"/>
      <c r="C13" s="187"/>
      <c r="D13" s="129"/>
      <c r="E13" s="187"/>
      <c r="F13" s="129"/>
      <c r="G13" s="187"/>
      <c r="H13" s="129"/>
      <c r="I13" s="129"/>
      <c r="J13" s="129"/>
      <c r="K13" s="129"/>
      <c r="L13" s="129"/>
      <c r="M13" s="129"/>
      <c r="N13" s="129"/>
      <c r="O13" s="346"/>
      <c r="P13" s="347"/>
      <c r="Q13" s="129"/>
      <c r="R13" s="129"/>
      <c r="S13" s="129"/>
      <c r="T13" s="129"/>
      <c r="U13" s="129"/>
      <c r="V13" s="129"/>
      <c r="W13" s="129"/>
      <c r="X13" s="129"/>
      <c r="Y13" s="129"/>
      <c r="Z13" s="129"/>
      <c r="AA13" s="129"/>
      <c r="AB13" s="129"/>
      <c r="AC13" s="129"/>
      <c r="AD13" s="129"/>
      <c r="AE13" s="129"/>
      <c r="AF13" s="129"/>
      <c r="AG13" s="129"/>
    </row>
    <row r="14" spans="1:44" ht="14.25" customHeight="1">
      <c r="A14" s="188" t="s">
        <v>72</v>
      </c>
      <c r="B14" s="551" t="s">
        <v>921</v>
      </c>
      <c r="C14" s="552"/>
      <c r="D14" s="552"/>
      <c r="E14" s="552"/>
      <c r="F14" s="552"/>
      <c r="G14" s="552"/>
      <c r="H14" s="552"/>
      <c r="I14" s="552"/>
      <c r="J14" s="552"/>
      <c r="K14" s="552"/>
      <c r="L14" s="552"/>
      <c r="M14" s="552"/>
      <c r="N14" s="552"/>
      <c r="O14" s="339"/>
    </row>
    <row r="15" spans="1:44" ht="14.25">
      <c r="A15" s="186"/>
      <c r="B15" s="129"/>
      <c r="C15" s="187"/>
      <c r="D15" s="129"/>
      <c r="E15" s="187"/>
      <c r="F15" s="129"/>
      <c r="G15" s="187"/>
      <c r="H15" s="129"/>
      <c r="I15" s="129"/>
      <c r="J15" s="129"/>
      <c r="K15" s="129"/>
      <c r="L15" s="129"/>
      <c r="M15" s="129"/>
      <c r="N15" s="129"/>
      <c r="O15" s="346"/>
      <c r="P15" s="347"/>
      <c r="Q15" s="129"/>
      <c r="R15" s="129"/>
      <c r="S15" s="129"/>
      <c r="T15" s="129"/>
      <c r="U15" s="129"/>
      <c r="V15" s="129"/>
      <c r="W15" s="129"/>
      <c r="X15" s="129"/>
      <c r="Y15" s="129"/>
      <c r="Z15" s="129"/>
      <c r="AA15" s="129"/>
      <c r="AB15" s="129"/>
      <c r="AC15" s="129"/>
      <c r="AD15" s="129"/>
      <c r="AE15" s="129"/>
      <c r="AF15" s="129"/>
      <c r="AG15" s="129"/>
    </row>
    <row r="16" spans="1:44" s="175" customFormat="1" ht="15" customHeight="1">
      <c r="A16" s="244" t="s">
        <v>73</v>
      </c>
      <c r="B16" s="583" t="s">
        <v>272</v>
      </c>
      <c r="C16" s="583"/>
      <c r="D16" s="583"/>
      <c r="E16" s="583"/>
      <c r="F16" s="583"/>
      <c r="G16" s="583"/>
      <c r="H16" s="583"/>
      <c r="I16" s="583"/>
      <c r="J16" s="583"/>
      <c r="K16" s="583"/>
      <c r="L16" s="583"/>
      <c r="M16" s="583"/>
      <c r="N16" s="583"/>
      <c r="O16" s="348" t="s">
        <v>1007</v>
      </c>
      <c r="P16" s="349" t="s">
        <v>74</v>
      </c>
    </row>
    <row r="17" spans="1:33" ht="14.25" customHeight="1">
      <c r="A17" s="186"/>
      <c r="B17" s="129"/>
      <c r="C17" s="187"/>
      <c r="D17" s="129"/>
      <c r="E17" s="187"/>
      <c r="F17" s="129"/>
      <c r="G17" s="187"/>
      <c r="H17" s="129"/>
      <c r="I17" s="129"/>
      <c r="J17" s="129"/>
      <c r="K17" s="129"/>
      <c r="L17" s="129"/>
      <c r="M17" s="129"/>
      <c r="N17" s="129"/>
      <c r="O17" s="346"/>
      <c r="P17" s="347"/>
      <c r="Q17" s="129"/>
      <c r="R17" s="129"/>
      <c r="S17" s="129"/>
      <c r="T17" s="129"/>
      <c r="U17" s="129"/>
      <c r="V17" s="129"/>
      <c r="W17" s="129"/>
      <c r="X17" s="129"/>
      <c r="Y17" s="129"/>
      <c r="Z17" s="129"/>
      <c r="AA17" s="129"/>
      <c r="AB17" s="129"/>
      <c r="AC17" s="129"/>
      <c r="AD17" s="129"/>
      <c r="AE17" s="129"/>
      <c r="AF17" s="129"/>
      <c r="AG17" s="129"/>
    </row>
    <row r="18" spans="1:33" ht="14.25" customHeight="1">
      <c r="A18" s="186"/>
      <c r="B18" s="129"/>
      <c r="C18" s="187" t="s">
        <v>75</v>
      </c>
      <c r="D18" s="129"/>
      <c r="E18" s="187" t="s">
        <v>76</v>
      </c>
      <c r="F18" s="129"/>
      <c r="G18" s="187" t="s">
        <v>77</v>
      </c>
      <c r="H18" s="129"/>
      <c r="I18" s="129"/>
      <c r="J18" s="129"/>
      <c r="K18" s="129"/>
      <c r="L18" s="129"/>
      <c r="M18" s="129"/>
      <c r="N18" s="129"/>
      <c r="O18" s="346"/>
      <c r="P18" s="347"/>
      <c r="Q18" s="129"/>
      <c r="R18" s="129"/>
      <c r="S18" s="129"/>
      <c r="T18" s="129"/>
      <c r="U18" s="129"/>
      <c r="V18" s="129"/>
      <c r="W18" s="129"/>
      <c r="X18" s="129"/>
      <c r="Y18" s="129"/>
      <c r="Z18" s="129"/>
      <c r="AA18" s="129"/>
      <c r="AB18" s="129"/>
      <c r="AC18" s="129"/>
      <c r="AD18" s="129"/>
      <c r="AE18" s="129"/>
      <c r="AF18" s="129"/>
      <c r="AG18" s="129"/>
    </row>
    <row r="19" spans="1:33" ht="14.25" customHeight="1">
      <c r="A19" s="186"/>
      <c r="B19" s="129" t="s">
        <v>77</v>
      </c>
      <c r="C19" s="187">
        <v>5</v>
      </c>
      <c r="D19" s="187" t="s">
        <v>78</v>
      </c>
      <c r="E19" s="187">
        <v>2</v>
      </c>
      <c r="F19" s="187" t="s">
        <v>79</v>
      </c>
      <c r="G19" s="187">
        <f>C19*E19</f>
        <v>10</v>
      </c>
      <c r="H19" s="129" t="s">
        <v>42</v>
      </c>
      <c r="I19" s="129"/>
      <c r="J19" s="129"/>
      <c r="K19" s="129"/>
      <c r="L19" s="129"/>
      <c r="M19" s="129"/>
      <c r="N19" s="129"/>
      <c r="O19" s="346"/>
      <c r="P19" s="347"/>
      <c r="Q19" s="129"/>
      <c r="R19" s="129"/>
      <c r="S19" s="129"/>
      <c r="T19" s="129"/>
      <c r="U19" s="129"/>
      <c r="V19" s="129"/>
      <c r="W19" s="129"/>
      <c r="X19" s="129"/>
      <c r="Y19" s="129"/>
      <c r="Z19" s="129"/>
      <c r="AA19" s="129"/>
      <c r="AB19" s="129"/>
      <c r="AC19" s="129"/>
      <c r="AD19" s="129"/>
      <c r="AE19" s="129"/>
      <c r="AF19" s="129"/>
      <c r="AG19" s="129"/>
    </row>
    <row r="20" spans="1:33" ht="14.25" customHeight="1">
      <c r="A20" s="186"/>
      <c r="B20" s="129"/>
      <c r="C20" s="187"/>
      <c r="D20" s="187"/>
      <c r="E20" s="187"/>
      <c r="F20" s="187"/>
      <c r="G20" s="187"/>
      <c r="H20" s="129"/>
      <c r="I20" s="129"/>
      <c r="J20" s="129"/>
      <c r="K20" s="129"/>
      <c r="L20" s="129"/>
      <c r="M20" s="129"/>
      <c r="N20" s="129"/>
      <c r="O20" s="346"/>
      <c r="P20" s="347"/>
      <c r="Q20" s="129"/>
      <c r="R20" s="129"/>
      <c r="S20" s="129"/>
      <c r="T20" s="129"/>
      <c r="U20" s="129"/>
      <c r="V20" s="129"/>
      <c r="W20" s="129"/>
      <c r="X20" s="129"/>
      <c r="Y20" s="129"/>
      <c r="Z20" s="129"/>
      <c r="AA20" s="129"/>
      <c r="AB20" s="129"/>
      <c r="AC20" s="129"/>
      <c r="AD20" s="129"/>
      <c r="AE20" s="129"/>
      <c r="AF20" s="129"/>
      <c r="AG20" s="129"/>
    </row>
    <row r="21" spans="1:33" ht="14.25" customHeight="1">
      <c r="A21" s="190"/>
      <c r="B21" s="191" t="s">
        <v>80</v>
      </c>
      <c r="C21" s="192">
        <f>G19</f>
        <v>10</v>
      </c>
      <c r="D21" s="191" t="s">
        <v>42</v>
      </c>
      <c r="E21" s="193"/>
      <c r="G21" s="193"/>
      <c r="O21" s="339"/>
    </row>
    <row r="22" spans="1:33" ht="14.25" customHeight="1">
      <c r="A22" s="190"/>
      <c r="C22" s="193"/>
      <c r="E22" s="193"/>
      <c r="G22" s="193"/>
      <c r="O22" s="339"/>
    </row>
    <row r="23" spans="1:33" ht="14.25" customHeight="1">
      <c r="A23" s="245" t="s">
        <v>263</v>
      </c>
      <c r="B23" s="544" t="s">
        <v>81</v>
      </c>
      <c r="C23" s="550"/>
      <c r="D23" s="550"/>
      <c r="E23" s="550"/>
      <c r="F23" s="550"/>
      <c r="G23" s="550"/>
      <c r="H23" s="550"/>
      <c r="I23" s="550"/>
      <c r="J23" s="550"/>
      <c r="K23" s="550"/>
      <c r="L23" s="550"/>
      <c r="M23" s="550"/>
      <c r="N23" s="550"/>
      <c r="O23" s="346">
        <v>98459</v>
      </c>
      <c r="P23" s="347"/>
    </row>
    <row r="24" spans="1:33" ht="14.25" customHeight="1">
      <c r="A24" s="194"/>
      <c r="B24" s="246"/>
      <c r="C24" s="246"/>
      <c r="D24" s="246"/>
      <c r="E24" s="246"/>
      <c r="F24" s="246"/>
      <c r="G24" s="246"/>
      <c r="H24" s="246"/>
      <c r="I24" s="246"/>
      <c r="J24" s="246"/>
      <c r="K24" s="246"/>
      <c r="L24" s="246"/>
      <c r="M24" s="246"/>
      <c r="N24" s="246"/>
      <c r="O24" s="346"/>
      <c r="P24" s="347"/>
    </row>
    <row r="25" spans="1:33" ht="14.25" customHeight="1">
      <c r="A25" s="186"/>
      <c r="B25" s="129"/>
      <c r="C25" s="187" t="s">
        <v>75</v>
      </c>
      <c r="D25" s="129"/>
      <c r="E25" s="187" t="s">
        <v>76</v>
      </c>
      <c r="F25" s="129"/>
      <c r="G25" s="187" t="s">
        <v>77</v>
      </c>
      <c r="H25" s="129"/>
      <c r="I25" s="129"/>
      <c r="J25" s="129"/>
      <c r="K25" s="129"/>
      <c r="L25" s="129"/>
      <c r="M25" s="129"/>
      <c r="N25" s="129"/>
      <c r="O25" s="346"/>
      <c r="P25" s="347"/>
      <c r="Q25" s="129"/>
      <c r="R25" s="129"/>
      <c r="S25" s="129"/>
      <c r="T25" s="129"/>
      <c r="U25" s="129"/>
      <c r="V25" s="129"/>
      <c r="W25" s="129"/>
      <c r="X25" s="129"/>
      <c r="Y25" s="129"/>
      <c r="Z25" s="129"/>
      <c r="AA25" s="129"/>
      <c r="AB25" s="129"/>
      <c r="AC25" s="129"/>
      <c r="AD25" s="129"/>
      <c r="AE25" s="129"/>
      <c r="AF25" s="129"/>
      <c r="AG25" s="129"/>
    </row>
    <row r="26" spans="1:33" ht="14.25" customHeight="1">
      <c r="A26" s="190"/>
      <c r="B26" s="128" t="s">
        <v>77</v>
      </c>
      <c r="C26" s="193">
        <f>62.29*2+36.29+37.5</f>
        <v>198.37</v>
      </c>
      <c r="D26" s="128" t="s">
        <v>78</v>
      </c>
      <c r="E26" s="193">
        <v>2.2000000000000002</v>
      </c>
      <c r="F26" s="128" t="s">
        <v>79</v>
      </c>
      <c r="G26" s="193">
        <f>C26*E26</f>
        <v>436.41400000000004</v>
      </c>
      <c r="H26" s="128" t="s">
        <v>42</v>
      </c>
      <c r="O26" s="339"/>
    </row>
    <row r="27" spans="1:33" ht="14.25" customHeight="1">
      <c r="A27" s="190"/>
      <c r="C27" s="193"/>
      <c r="E27" s="193"/>
      <c r="G27" s="193"/>
      <c r="O27" s="339"/>
    </row>
    <row r="28" spans="1:33" ht="14.25" customHeight="1">
      <c r="A28" s="190"/>
      <c r="B28" s="191" t="s">
        <v>80</v>
      </c>
      <c r="C28" s="192">
        <f>G26</f>
        <v>436.41400000000004</v>
      </c>
      <c r="D28" s="191" t="s">
        <v>42</v>
      </c>
      <c r="E28" s="193"/>
      <c r="G28" s="193"/>
      <c r="O28" s="339"/>
    </row>
    <row r="29" spans="1:33" ht="14.25" customHeight="1">
      <c r="A29" s="190"/>
      <c r="C29" s="193"/>
      <c r="E29" s="193"/>
      <c r="G29" s="193"/>
      <c r="O29" s="339"/>
    </row>
    <row r="30" spans="1:33" ht="15" customHeight="1">
      <c r="A30" s="245" t="s">
        <v>264</v>
      </c>
      <c r="B30" s="544" t="s">
        <v>966</v>
      </c>
      <c r="C30" s="550"/>
      <c r="D30" s="550"/>
      <c r="E30" s="550"/>
      <c r="F30" s="550"/>
      <c r="G30" s="550"/>
      <c r="H30" s="550"/>
      <c r="I30" s="550"/>
      <c r="J30" s="550"/>
      <c r="K30" s="550"/>
      <c r="L30" s="550"/>
      <c r="M30" s="550"/>
      <c r="N30" s="550"/>
      <c r="O30" s="346" t="s">
        <v>1008</v>
      </c>
      <c r="P30" s="347" t="s">
        <v>74</v>
      </c>
    </row>
    <row r="31" spans="1:33" ht="14.25" customHeight="1">
      <c r="A31" s="186"/>
      <c r="B31" s="129"/>
      <c r="C31" s="187"/>
      <c r="D31" s="129"/>
      <c r="E31" s="187"/>
      <c r="F31" s="129"/>
      <c r="G31" s="187"/>
      <c r="H31" s="129"/>
      <c r="I31" s="129"/>
      <c r="J31" s="129"/>
      <c r="K31" s="129"/>
      <c r="L31" s="129"/>
      <c r="M31" s="129"/>
      <c r="N31" s="129"/>
      <c r="O31" s="346"/>
      <c r="P31" s="347"/>
      <c r="Q31" s="129"/>
      <c r="R31" s="129"/>
      <c r="S31" s="129"/>
      <c r="T31" s="129"/>
      <c r="U31" s="129"/>
      <c r="V31" s="129"/>
      <c r="W31" s="129"/>
      <c r="X31" s="129"/>
      <c r="Y31" s="129"/>
      <c r="Z31" s="129"/>
      <c r="AA31" s="129"/>
      <c r="AB31" s="129"/>
      <c r="AC31" s="129"/>
      <c r="AD31" s="129"/>
      <c r="AE31" s="129"/>
      <c r="AF31" s="129"/>
      <c r="AG31" s="129"/>
    </row>
    <row r="32" spans="1:33" ht="14.25" customHeight="1">
      <c r="A32" s="186"/>
      <c r="B32" s="129"/>
      <c r="C32" s="187" t="s">
        <v>87</v>
      </c>
      <c r="D32" s="129"/>
      <c r="E32" s="187"/>
      <c r="F32" s="129"/>
      <c r="G32" s="187"/>
      <c r="H32" s="129"/>
      <c r="I32" s="129"/>
      <c r="J32" s="129"/>
      <c r="K32" s="129"/>
      <c r="L32" s="129"/>
      <c r="M32" s="129"/>
      <c r="N32" s="129"/>
      <c r="O32" s="346"/>
      <c r="P32" s="347"/>
      <c r="Q32" s="129"/>
      <c r="R32" s="129"/>
      <c r="S32" s="129"/>
      <c r="T32" s="129"/>
      <c r="U32" s="129"/>
      <c r="V32" s="129"/>
      <c r="W32" s="129"/>
      <c r="X32" s="129"/>
      <c r="Y32" s="129"/>
      <c r="Z32" s="129"/>
      <c r="AA32" s="129"/>
      <c r="AB32" s="129"/>
      <c r="AC32" s="129"/>
      <c r="AD32" s="129"/>
      <c r="AE32" s="129"/>
      <c r="AF32" s="129"/>
      <c r="AG32" s="129"/>
    </row>
    <row r="33" spans="1:33" ht="14.25" customHeight="1">
      <c r="A33" s="190"/>
      <c r="B33" s="191" t="s">
        <v>80</v>
      </c>
      <c r="C33" s="192">
        <v>1</v>
      </c>
      <c r="D33" s="191" t="s">
        <v>82</v>
      </c>
      <c r="E33" s="193"/>
      <c r="G33" s="193"/>
      <c r="O33" s="339"/>
    </row>
    <row r="34" spans="1:33" ht="14.25" customHeight="1">
      <c r="A34" s="190"/>
      <c r="C34" s="193"/>
      <c r="E34" s="193"/>
      <c r="G34" s="193"/>
      <c r="O34" s="339"/>
    </row>
    <row r="35" spans="1:33" ht="14.25" customHeight="1">
      <c r="A35" s="245" t="s">
        <v>265</v>
      </c>
      <c r="B35" s="544" t="s">
        <v>83</v>
      </c>
      <c r="C35" s="550"/>
      <c r="D35" s="550"/>
      <c r="E35" s="550"/>
      <c r="F35" s="550"/>
      <c r="G35" s="550"/>
      <c r="H35" s="550"/>
      <c r="I35" s="550"/>
      <c r="J35" s="550"/>
      <c r="K35" s="550"/>
      <c r="L35" s="550"/>
      <c r="M35" s="550"/>
      <c r="N35" s="550"/>
      <c r="O35" s="346">
        <v>93214</v>
      </c>
      <c r="P35" s="347"/>
    </row>
    <row r="36" spans="1:33" ht="14.25" customHeight="1">
      <c r="A36" s="186"/>
      <c r="B36" s="129"/>
      <c r="C36" s="187"/>
      <c r="D36" s="129"/>
      <c r="E36" s="187"/>
      <c r="F36" s="129"/>
      <c r="G36" s="187"/>
      <c r="H36" s="129"/>
      <c r="I36" s="129"/>
      <c r="J36" s="129"/>
      <c r="K36" s="129"/>
      <c r="L36" s="129"/>
      <c r="M36" s="129"/>
      <c r="N36" s="129"/>
      <c r="O36" s="346"/>
      <c r="P36" s="347"/>
      <c r="Q36" s="129"/>
      <c r="R36" s="129"/>
      <c r="S36" s="129"/>
      <c r="T36" s="129"/>
      <c r="U36" s="129"/>
      <c r="V36" s="129"/>
      <c r="W36" s="129"/>
      <c r="X36" s="129"/>
      <c r="Y36" s="129"/>
      <c r="Z36" s="129"/>
      <c r="AA36" s="129"/>
      <c r="AB36" s="129"/>
      <c r="AC36" s="129"/>
      <c r="AD36" s="129"/>
      <c r="AE36" s="129"/>
      <c r="AF36" s="129"/>
      <c r="AG36" s="129"/>
    </row>
    <row r="37" spans="1:33" ht="14.25" customHeight="1">
      <c r="A37" s="186"/>
      <c r="B37" s="129"/>
      <c r="C37" s="187" t="s">
        <v>87</v>
      </c>
      <c r="D37" s="129"/>
      <c r="E37" s="187"/>
      <c r="F37" s="129"/>
      <c r="G37" s="187"/>
      <c r="H37" s="129"/>
      <c r="I37" s="129"/>
      <c r="J37" s="129"/>
      <c r="K37" s="129"/>
      <c r="L37" s="129"/>
      <c r="M37" s="129"/>
      <c r="N37" s="129"/>
      <c r="O37" s="346"/>
      <c r="P37" s="347"/>
      <c r="Q37" s="129"/>
      <c r="R37" s="129"/>
      <c r="S37" s="129"/>
      <c r="T37" s="129"/>
      <c r="U37" s="129"/>
      <c r="V37" s="129"/>
      <c r="W37" s="129"/>
      <c r="X37" s="129"/>
      <c r="Y37" s="129"/>
      <c r="Z37" s="129"/>
      <c r="AA37" s="129"/>
      <c r="AB37" s="129"/>
      <c r="AC37" s="129"/>
      <c r="AD37" s="129"/>
      <c r="AE37" s="129"/>
      <c r="AF37" s="129"/>
      <c r="AG37" s="129"/>
    </row>
    <row r="38" spans="1:33" ht="14.25" customHeight="1">
      <c r="A38" s="190"/>
      <c r="B38" s="191" t="s">
        <v>80</v>
      </c>
      <c r="C38" s="192">
        <v>1</v>
      </c>
      <c r="D38" s="191" t="s">
        <v>82</v>
      </c>
      <c r="E38" s="193"/>
      <c r="G38" s="193"/>
      <c r="O38" s="339"/>
    </row>
    <row r="39" spans="1:33" ht="14.25" customHeight="1">
      <c r="A39" s="190"/>
      <c r="C39" s="193"/>
      <c r="E39" s="193"/>
      <c r="G39" s="193"/>
      <c r="O39" s="339"/>
    </row>
    <row r="40" spans="1:33" ht="30" customHeight="1">
      <c r="A40" s="245" t="s">
        <v>266</v>
      </c>
      <c r="B40" s="544" t="s">
        <v>84</v>
      </c>
      <c r="C40" s="550"/>
      <c r="D40" s="550"/>
      <c r="E40" s="550"/>
      <c r="F40" s="550"/>
      <c r="G40" s="550"/>
      <c r="H40" s="550"/>
      <c r="I40" s="550"/>
      <c r="J40" s="550"/>
      <c r="K40" s="550"/>
      <c r="L40" s="550"/>
      <c r="M40" s="550"/>
      <c r="N40" s="550"/>
      <c r="O40" s="346" t="s">
        <v>1009</v>
      </c>
      <c r="P40" s="346" t="s">
        <v>74</v>
      </c>
    </row>
    <row r="41" spans="1:33" ht="14.25" customHeight="1">
      <c r="A41" s="186"/>
      <c r="B41" s="129"/>
      <c r="C41" s="187"/>
      <c r="D41" s="129"/>
      <c r="E41" s="187"/>
      <c r="F41" s="129"/>
      <c r="G41" s="187"/>
      <c r="H41" s="129"/>
      <c r="I41" s="129"/>
      <c r="J41" s="129"/>
      <c r="K41" s="129"/>
      <c r="L41" s="129"/>
      <c r="M41" s="129"/>
      <c r="N41" s="129"/>
      <c r="O41" s="346"/>
      <c r="P41" s="347"/>
      <c r="Q41" s="129"/>
      <c r="R41" s="129"/>
      <c r="S41" s="129"/>
      <c r="T41" s="129"/>
      <c r="U41" s="129"/>
      <c r="V41" s="129"/>
      <c r="W41" s="129"/>
      <c r="X41" s="129"/>
      <c r="Y41" s="129"/>
      <c r="Z41" s="129"/>
      <c r="AA41" s="129"/>
      <c r="AB41" s="129"/>
      <c r="AC41" s="129"/>
      <c r="AD41" s="129"/>
      <c r="AE41" s="129"/>
      <c r="AF41" s="129"/>
      <c r="AG41" s="129"/>
    </row>
    <row r="42" spans="1:33" ht="14.25" customHeight="1">
      <c r="A42" s="186"/>
      <c r="B42" s="129"/>
      <c r="C42" s="187" t="s">
        <v>87</v>
      </c>
      <c r="D42" s="129"/>
      <c r="E42" s="187"/>
      <c r="F42" s="129"/>
      <c r="G42" s="187"/>
      <c r="H42" s="129"/>
      <c r="I42" s="129"/>
      <c r="J42" s="129"/>
      <c r="K42" s="129"/>
      <c r="L42" s="129"/>
      <c r="M42" s="129"/>
      <c r="N42" s="129"/>
      <c r="O42" s="346"/>
      <c r="P42" s="347"/>
      <c r="Q42" s="129"/>
      <c r="R42" s="129"/>
      <c r="S42" s="129"/>
      <c r="T42" s="129"/>
      <c r="U42" s="129"/>
      <c r="V42" s="129"/>
      <c r="W42" s="129"/>
      <c r="X42" s="129"/>
      <c r="Y42" s="129"/>
      <c r="Z42" s="129"/>
      <c r="AA42" s="129"/>
      <c r="AB42" s="129"/>
      <c r="AC42" s="129"/>
      <c r="AD42" s="129"/>
      <c r="AE42" s="129"/>
      <c r="AF42" s="129"/>
      <c r="AG42" s="129"/>
    </row>
    <row r="43" spans="1:33" ht="14.25" customHeight="1">
      <c r="A43" s="190"/>
      <c r="B43" s="191" t="s">
        <v>80</v>
      </c>
      <c r="C43" s="192">
        <v>1</v>
      </c>
      <c r="D43" s="191" t="s">
        <v>82</v>
      </c>
      <c r="E43" s="193"/>
      <c r="G43" s="193"/>
      <c r="O43" s="339"/>
    </row>
    <row r="44" spans="1:33" ht="14.25" customHeight="1">
      <c r="A44" s="190"/>
      <c r="C44" s="193"/>
      <c r="E44" s="193"/>
      <c r="G44" s="193"/>
      <c r="O44" s="339"/>
    </row>
    <row r="45" spans="1:33" ht="14.25" customHeight="1">
      <c r="A45" s="245" t="s">
        <v>267</v>
      </c>
      <c r="B45" s="544" t="s">
        <v>85</v>
      </c>
      <c r="C45" s="550"/>
      <c r="D45" s="550"/>
      <c r="E45" s="550"/>
      <c r="F45" s="550"/>
      <c r="G45" s="550"/>
      <c r="H45" s="550"/>
      <c r="I45" s="550"/>
      <c r="J45" s="550"/>
      <c r="K45" s="550"/>
      <c r="L45" s="550"/>
      <c r="M45" s="550"/>
      <c r="N45" s="550"/>
      <c r="O45" s="346">
        <v>93212</v>
      </c>
      <c r="P45" s="347"/>
    </row>
    <row r="46" spans="1:33" ht="16.5" customHeight="1">
      <c r="A46" s="194"/>
      <c r="B46" s="246"/>
      <c r="C46" s="246"/>
      <c r="D46" s="246"/>
      <c r="E46" s="246"/>
      <c r="F46" s="246"/>
      <c r="G46" s="246"/>
      <c r="H46" s="246"/>
      <c r="I46" s="246"/>
      <c r="J46" s="246"/>
      <c r="K46" s="246"/>
      <c r="L46" s="246"/>
      <c r="M46" s="246"/>
      <c r="N46" s="246"/>
      <c r="O46" s="346"/>
      <c r="P46" s="347"/>
    </row>
    <row r="47" spans="1:33" ht="14.25" customHeight="1">
      <c r="A47" s="186"/>
      <c r="B47" s="129"/>
      <c r="C47" s="187" t="s">
        <v>75</v>
      </c>
      <c r="D47" s="129"/>
      <c r="E47" s="187" t="s">
        <v>86</v>
      </c>
      <c r="F47" s="129"/>
      <c r="G47" s="129" t="s">
        <v>87</v>
      </c>
      <c r="H47" s="129"/>
      <c r="I47" s="187" t="s">
        <v>77</v>
      </c>
      <c r="J47" s="129"/>
      <c r="K47" s="129"/>
      <c r="L47" s="129"/>
      <c r="M47" s="129"/>
      <c r="N47" s="129"/>
      <c r="O47" s="346"/>
      <c r="P47" s="347"/>
      <c r="Q47" s="129"/>
      <c r="R47" s="129"/>
      <c r="S47" s="129"/>
      <c r="T47" s="129"/>
      <c r="U47" s="129"/>
      <c r="V47" s="129"/>
      <c r="W47" s="129"/>
      <c r="X47" s="129"/>
      <c r="Y47" s="129"/>
      <c r="Z47" s="129"/>
      <c r="AA47" s="129"/>
      <c r="AB47" s="129"/>
      <c r="AC47" s="129"/>
      <c r="AD47" s="129"/>
      <c r="AE47" s="129"/>
      <c r="AF47" s="129"/>
      <c r="AG47" s="129"/>
    </row>
    <row r="48" spans="1:33" ht="14.25" customHeight="1">
      <c r="A48" s="190"/>
      <c r="B48" s="128" t="s">
        <v>77</v>
      </c>
      <c r="C48" s="193">
        <v>4</v>
      </c>
      <c r="D48" s="128" t="s">
        <v>78</v>
      </c>
      <c r="E48" s="193">
        <v>5</v>
      </c>
      <c r="F48" s="128" t="s">
        <v>78</v>
      </c>
      <c r="G48" s="193">
        <v>1</v>
      </c>
      <c r="H48" s="128" t="s">
        <v>88</v>
      </c>
      <c r="I48" s="193">
        <f>C48*E48*G48</f>
        <v>20</v>
      </c>
      <c r="J48" s="128" t="s">
        <v>42</v>
      </c>
      <c r="O48" s="339"/>
    </row>
    <row r="49" spans="1:33" ht="14.25" customHeight="1">
      <c r="A49" s="190"/>
      <c r="C49" s="193"/>
      <c r="E49" s="193"/>
      <c r="G49" s="193"/>
      <c r="I49" s="193"/>
      <c r="O49" s="339"/>
    </row>
    <row r="50" spans="1:33" ht="14.25" customHeight="1">
      <c r="A50" s="190"/>
      <c r="B50" s="191" t="s">
        <v>80</v>
      </c>
      <c r="C50" s="192">
        <f>I48</f>
        <v>20</v>
      </c>
      <c r="D50" s="191" t="s">
        <v>42</v>
      </c>
      <c r="E50" s="193"/>
      <c r="G50" s="193"/>
      <c r="O50" s="339"/>
    </row>
    <row r="51" spans="1:33" ht="14.25" customHeight="1">
      <c r="A51" s="190"/>
      <c r="C51" s="193"/>
      <c r="E51" s="193"/>
      <c r="G51" s="193"/>
      <c r="O51" s="339"/>
    </row>
    <row r="52" spans="1:33" ht="14.25" customHeight="1">
      <c r="A52" s="245" t="s">
        <v>268</v>
      </c>
      <c r="B52" s="544" t="s">
        <v>89</v>
      </c>
      <c r="C52" s="550"/>
      <c r="D52" s="550"/>
      <c r="E52" s="550"/>
      <c r="F52" s="550"/>
      <c r="G52" s="550"/>
      <c r="H52" s="550"/>
      <c r="I52" s="550"/>
      <c r="J52" s="550"/>
      <c r="K52" s="550"/>
      <c r="L52" s="550"/>
      <c r="M52" s="550"/>
      <c r="N52" s="550"/>
      <c r="O52" s="346">
        <v>93207</v>
      </c>
      <c r="P52" s="347"/>
    </row>
    <row r="53" spans="1:33" ht="14.25" customHeight="1">
      <c r="A53" s="190"/>
      <c r="C53" s="193"/>
      <c r="E53" s="193"/>
      <c r="G53" s="193"/>
      <c r="O53" s="339"/>
    </row>
    <row r="54" spans="1:33" ht="14.25" customHeight="1">
      <c r="A54" s="186"/>
      <c r="B54" s="129"/>
      <c r="C54" s="187" t="s">
        <v>75</v>
      </c>
      <c r="D54" s="129"/>
      <c r="E54" s="187" t="s">
        <v>86</v>
      </c>
      <c r="F54" s="129"/>
      <c r="G54" s="128" t="s">
        <v>77</v>
      </c>
      <c r="H54" s="129"/>
      <c r="I54" s="129"/>
      <c r="J54" s="129"/>
      <c r="K54" s="129"/>
      <c r="L54" s="129"/>
      <c r="M54" s="129"/>
      <c r="N54" s="129"/>
      <c r="O54" s="346"/>
      <c r="P54" s="347"/>
      <c r="Q54" s="129"/>
      <c r="R54" s="129"/>
      <c r="S54" s="129"/>
      <c r="T54" s="129"/>
      <c r="U54" s="129"/>
      <c r="V54" s="129"/>
      <c r="W54" s="129"/>
      <c r="X54" s="129"/>
      <c r="Y54" s="129"/>
      <c r="Z54" s="129"/>
      <c r="AA54" s="129"/>
      <c r="AB54" s="129"/>
      <c r="AC54" s="129"/>
      <c r="AD54" s="129"/>
      <c r="AE54" s="129"/>
      <c r="AF54" s="129"/>
      <c r="AG54" s="129"/>
    </row>
    <row r="55" spans="1:33" ht="14.25" customHeight="1">
      <c r="A55" s="190"/>
      <c r="B55" s="128" t="s">
        <v>77</v>
      </c>
      <c r="C55" s="193">
        <v>4</v>
      </c>
      <c r="D55" s="128" t="s">
        <v>78</v>
      </c>
      <c r="E55" s="193">
        <v>5</v>
      </c>
      <c r="F55" s="128" t="s">
        <v>79</v>
      </c>
      <c r="G55" s="193">
        <f>C55*E55</f>
        <v>20</v>
      </c>
      <c r="H55" s="128" t="s">
        <v>42</v>
      </c>
      <c r="O55" s="339"/>
    </row>
    <row r="56" spans="1:33" ht="14.25" customHeight="1">
      <c r="A56" s="190"/>
      <c r="C56" s="193"/>
      <c r="E56" s="193"/>
      <c r="G56" s="193"/>
      <c r="O56" s="339"/>
    </row>
    <row r="57" spans="1:33" ht="14.25" customHeight="1">
      <c r="A57" s="190"/>
      <c r="B57" s="191" t="s">
        <v>80</v>
      </c>
      <c r="C57" s="192">
        <f>G55</f>
        <v>20</v>
      </c>
      <c r="D57" s="191" t="s">
        <v>42</v>
      </c>
      <c r="E57" s="193"/>
      <c r="G57" s="193"/>
      <c r="O57" s="339"/>
    </row>
    <row r="58" spans="1:33" ht="14.25" customHeight="1">
      <c r="A58" s="190"/>
      <c r="C58" s="193"/>
      <c r="E58" s="193"/>
      <c r="G58" s="193"/>
      <c r="O58" s="339"/>
    </row>
    <row r="59" spans="1:33" ht="14.25" customHeight="1">
      <c r="A59" s="245" t="s">
        <v>269</v>
      </c>
      <c r="B59" s="544" t="s">
        <v>90</v>
      </c>
      <c r="C59" s="550"/>
      <c r="D59" s="550"/>
      <c r="E59" s="550"/>
      <c r="F59" s="550"/>
      <c r="G59" s="550"/>
      <c r="H59" s="550"/>
      <c r="I59" s="550"/>
      <c r="J59" s="550"/>
      <c r="K59" s="550"/>
      <c r="L59" s="550"/>
      <c r="M59" s="550"/>
      <c r="N59" s="550"/>
      <c r="O59" s="346">
        <v>93584</v>
      </c>
      <c r="P59" s="347"/>
    </row>
    <row r="60" spans="1:33" ht="14.25" customHeight="1">
      <c r="A60" s="190"/>
      <c r="C60" s="193"/>
      <c r="E60" s="193"/>
      <c r="G60" s="193"/>
      <c r="O60" s="339"/>
    </row>
    <row r="61" spans="1:33" ht="14.25" customHeight="1">
      <c r="A61" s="186"/>
      <c r="B61" s="129"/>
      <c r="C61" s="187" t="s">
        <v>75</v>
      </c>
      <c r="D61" s="129"/>
      <c r="E61" s="187" t="s">
        <v>86</v>
      </c>
      <c r="F61" s="129"/>
      <c r="G61" s="128" t="s">
        <v>77</v>
      </c>
      <c r="H61" s="129"/>
      <c r="I61" s="129"/>
      <c r="J61" s="129"/>
      <c r="K61" s="129"/>
      <c r="L61" s="129"/>
      <c r="M61" s="129"/>
      <c r="N61" s="129"/>
      <c r="O61" s="346"/>
      <c r="P61" s="347"/>
      <c r="Q61" s="129"/>
      <c r="R61" s="129"/>
      <c r="S61" s="129"/>
      <c r="T61" s="129"/>
      <c r="U61" s="129"/>
      <c r="V61" s="129"/>
      <c r="W61" s="129"/>
      <c r="X61" s="129"/>
      <c r="Y61" s="129"/>
      <c r="Z61" s="129"/>
      <c r="AA61" s="129"/>
      <c r="AB61" s="129"/>
      <c r="AC61" s="129"/>
      <c r="AD61" s="129"/>
      <c r="AE61" s="129"/>
      <c r="AF61" s="129"/>
      <c r="AG61" s="129"/>
    </row>
    <row r="62" spans="1:33" ht="14.25" customHeight="1">
      <c r="A62" s="190"/>
      <c r="B62" s="128" t="s">
        <v>77</v>
      </c>
      <c r="C62" s="193">
        <v>4</v>
      </c>
      <c r="D62" s="128" t="s">
        <v>78</v>
      </c>
      <c r="E62" s="193">
        <v>5</v>
      </c>
      <c r="F62" s="128" t="s">
        <v>79</v>
      </c>
      <c r="G62" s="193">
        <f>C62*E62</f>
        <v>20</v>
      </c>
      <c r="H62" s="128" t="s">
        <v>42</v>
      </c>
      <c r="O62" s="339"/>
    </row>
    <row r="63" spans="1:33" ht="14.25" customHeight="1">
      <c r="A63" s="190"/>
      <c r="C63" s="193"/>
      <c r="E63" s="193"/>
      <c r="G63" s="193"/>
      <c r="O63" s="339"/>
    </row>
    <row r="64" spans="1:33" ht="14.25" customHeight="1">
      <c r="A64" s="190"/>
      <c r="B64" s="191" t="s">
        <v>80</v>
      </c>
      <c r="C64" s="192">
        <f>G62</f>
        <v>20</v>
      </c>
      <c r="D64" s="191" t="s">
        <v>42</v>
      </c>
      <c r="E64" s="193"/>
      <c r="G64" s="193"/>
      <c r="O64" s="339"/>
    </row>
    <row r="65" spans="1:33" ht="14.25" customHeight="1">
      <c r="A65" s="190"/>
      <c r="C65" s="193"/>
      <c r="E65" s="193"/>
      <c r="G65" s="193"/>
      <c r="O65" s="339"/>
    </row>
    <row r="66" spans="1:33" ht="14.25" customHeight="1">
      <c r="A66" s="245" t="s">
        <v>270</v>
      </c>
      <c r="B66" s="544" t="s">
        <v>911</v>
      </c>
      <c r="C66" s="550"/>
      <c r="D66" s="550"/>
      <c r="E66" s="550"/>
      <c r="F66" s="550"/>
      <c r="G66" s="550"/>
      <c r="H66" s="550"/>
      <c r="I66" s="550"/>
      <c r="J66" s="550"/>
      <c r="K66" s="550"/>
      <c r="L66" s="550"/>
      <c r="M66" s="550"/>
      <c r="N66" s="550"/>
      <c r="O66" s="346">
        <v>93210</v>
      </c>
      <c r="P66" s="347"/>
    </row>
    <row r="67" spans="1:33" ht="14.25" customHeight="1">
      <c r="A67" s="190"/>
      <c r="C67" s="193"/>
      <c r="E67" s="193"/>
      <c r="G67" s="193"/>
      <c r="O67" s="339"/>
    </row>
    <row r="68" spans="1:33" ht="14.25" customHeight="1">
      <c r="A68" s="186"/>
      <c r="B68" s="129"/>
      <c r="C68" s="187" t="s">
        <v>75</v>
      </c>
      <c r="D68" s="129"/>
      <c r="E68" s="187" t="s">
        <v>86</v>
      </c>
      <c r="F68" s="129"/>
      <c r="G68" s="128" t="s">
        <v>77</v>
      </c>
      <c r="H68" s="129"/>
      <c r="I68" s="129"/>
      <c r="J68" s="129"/>
      <c r="K68" s="129"/>
      <c r="L68" s="129"/>
      <c r="M68" s="129"/>
      <c r="N68" s="129"/>
      <c r="O68" s="346"/>
      <c r="P68" s="347"/>
      <c r="Q68" s="129"/>
      <c r="R68" s="129"/>
      <c r="S68" s="129"/>
      <c r="T68" s="129"/>
      <c r="U68" s="129"/>
      <c r="V68" s="129"/>
      <c r="W68" s="129"/>
      <c r="X68" s="129"/>
      <c r="Y68" s="129"/>
      <c r="Z68" s="129"/>
      <c r="AA68" s="129"/>
      <c r="AB68" s="129"/>
      <c r="AC68" s="129"/>
      <c r="AD68" s="129"/>
      <c r="AE68" s="129"/>
      <c r="AF68" s="129"/>
      <c r="AG68" s="129"/>
    </row>
    <row r="69" spans="1:33" ht="14.25" customHeight="1">
      <c r="A69" s="190"/>
      <c r="B69" s="128" t="s">
        <v>77</v>
      </c>
      <c r="C69" s="193">
        <v>7.2</v>
      </c>
      <c r="D69" s="128" t="s">
        <v>78</v>
      </c>
      <c r="E69" s="193">
        <v>2.5</v>
      </c>
      <c r="F69" s="128" t="s">
        <v>79</v>
      </c>
      <c r="G69" s="193">
        <f>C69*E69</f>
        <v>18</v>
      </c>
      <c r="H69" s="128" t="s">
        <v>42</v>
      </c>
      <c r="O69" s="339"/>
    </row>
    <row r="70" spans="1:33" ht="14.25" customHeight="1">
      <c r="A70" s="190"/>
      <c r="C70" s="193"/>
      <c r="E70" s="193"/>
      <c r="G70" s="193"/>
      <c r="O70" s="339"/>
    </row>
    <row r="71" spans="1:33" ht="14.25" customHeight="1">
      <c r="A71" s="190"/>
      <c r="B71" s="191" t="s">
        <v>80</v>
      </c>
      <c r="C71" s="192">
        <f>G69</f>
        <v>18</v>
      </c>
      <c r="D71" s="191" t="s">
        <v>42</v>
      </c>
      <c r="E71" s="193"/>
      <c r="G71" s="193"/>
      <c r="O71" s="339"/>
    </row>
    <row r="72" spans="1:33" ht="14.25" customHeight="1">
      <c r="A72" s="190"/>
      <c r="C72" s="193"/>
      <c r="E72" s="193"/>
      <c r="G72" s="193"/>
      <c r="O72" s="339"/>
    </row>
    <row r="73" spans="1:33" ht="31.5" customHeight="1">
      <c r="A73" s="245" t="s">
        <v>271</v>
      </c>
      <c r="B73" s="544" t="s">
        <v>968</v>
      </c>
      <c r="C73" s="550"/>
      <c r="D73" s="550"/>
      <c r="E73" s="550"/>
      <c r="F73" s="550"/>
      <c r="G73" s="550"/>
      <c r="H73" s="550"/>
      <c r="I73" s="550"/>
      <c r="J73" s="550"/>
      <c r="K73" s="550"/>
      <c r="L73" s="550"/>
      <c r="M73" s="550"/>
      <c r="N73" s="550"/>
      <c r="O73" s="346" t="s">
        <v>969</v>
      </c>
      <c r="P73" s="346" t="s">
        <v>970</v>
      </c>
    </row>
    <row r="74" spans="1:33" ht="14.25" customHeight="1">
      <c r="A74" s="190"/>
      <c r="B74" s="129"/>
      <c r="C74" s="187"/>
      <c r="D74" s="129"/>
      <c r="E74" s="187"/>
      <c r="F74" s="129"/>
      <c r="G74" s="187"/>
      <c r="H74" s="129"/>
      <c r="I74" s="129"/>
      <c r="J74" s="129"/>
      <c r="K74" s="129"/>
      <c r="L74" s="129"/>
      <c r="M74" s="129"/>
      <c r="N74" s="129"/>
      <c r="O74" s="346"/>
      <c r="P74" s="347"/>
      <c r="Q74" s="129"/>
      <c r="R74" s="129"/>
      <c r="S74" s="129"/>
      <c r="T74" s="129"/>
      <c r="U74" s="129"/>
      <c r="V74" s="129"/>
      <c r="W74" s="129"/>
      <c r="X74" s="129"/>
      <c r="Y74" s="129"/>
      <c r="Z74" s="129"/>
      <c r="AA74" s="129"/>
      <c r="AB74" s="129"/>
      <c r="AC74" s="129"/>
      <c r="AD74" s="129"/>
      <c r="AE74" s="129"/>
      <c r="AF74" s="129"/>
      <c r="AG74" s="129"/>
    </row>
    <row r="75" spans="1:33" ht="14.25" customHeight="1">
      <c r="A75" s="190"/>
      <c r="B75" s="129"/>
      <c r="C75" s="187" t="s">
        <v>75</v>
      </c>
      <c r="D75" s="129"/>
      <c r="E75" s="187" t="s">
        <v>963</v>
      </c>
      <c r="F75" s="129"/>
      <c r="G75" s="187" t="s">
        <v>75</v>
      </c>
      <c r="H75" s="129"/>
      <c r="I75" s="129"/>
      <c r="J75" s="129"/>
      <c r="K75" s="129"/>
      <c r="L75" s="129"/>
      <c r="M75" s="129"/>
      <c r="N75" s="129"/>
      <c r="O75" s="346"/>
      <c r="P75" s="347"/>
      <c r="Q75" s="129"/>
      <c r="R75" s="129"/>
      <c r="S75" s="129"/>
      <c r="T75" s="129"/>
      <c r="U75" s="129"/>
      <c r="V75" s="129"/>
      <c r="W75" s="129"/>
      <c r="X75" s="129"/>
      <c r="Y75" s="129"/>
      <c r="Z75" s="129"/>
      <c r="AA75" s="129"/>
      <c r="AB75" s="129"/>
      <c r="AC75" s="129"/>
      <c r="AD75" s="129"/>
      <c r="AE75" s="129"/>
      <c r="AF75" s="129"/>
      <c r="AG75" s="129"/>
    </row>
    <row r="76" spans="1:33" ht="14.25" customHeight="1">
      <c r="A76" s="190"/>
      <c r="B76" s="128" t="s">
        <v>962</v>
      </c>
      <c r="C76" s="193">
        <v>8</v>
      </c>
      <c r="D76" s="128" t="s">
        <v>78</v>
      </c>
      <c r="E76" s="193">
        <v>9</v>
      </c>
      <c r="F76" s="128" t="s">
        <v>95</v>
      </c>
      <c r="G76" s="193">
        <f>C76*E76</f>
        <v>72</v>
      </c>
      <c r="H76" s="128" t="s">
        <v>50</v>
      </c>
      <c r="O76" s="339"/>
    </row>
    <row r="77" spans="1:33" ht="14.25" customHeight="1">
      <c r="A77" s="190"/>
      <c r="C77" s="193"/>
      <c r="E77" s="193"/>
      <c r="G77" s="193"/>
      <c r="O77" s="339"/>
    </row>
    <row r="78" spans="1:33" ht="14.25" customHeight="1">
      <c r="A78" s="190"/>
      <c r="B78" s="191" t="s">
        <v>92</v>
      </c>
      <c r="C78" s="192">
        <f>G76</f>
        <v>72</v>
      </c>
      <c r="D78" s="191" t="s">
        <v>50</v>
      </c>
      <c r="E78" s="193"/>
      <c r="G78" s="193"/>
      <c r="O78" s="339"/>
    </row>
    <row r="79" spans="1:33" ht="14.25" customHeight="1">
      <c r="A79" s="190"/>
      <c r="C79" s="193"/>
      <c r="E79" s="193"/>
      <c r="G79" s="193"/>
      <c r="O79" s="339"/>
    </row>
    <row r="80" spans="1:33">
      <c r="A80" s="245" t="s">
        <v>389</v>
      </c>
      <c r="B80" s="544" t="s">
        <v>972</v>
      </c>
      <c r="C80" s="550"/>
      <c r="D80" s="550"/>
      <c r="E80" s="550"/>
      <c r="F80" s="550"/>
      <c r="G80" s="550"/>
      <c r="H80" s="550"/>
      <c r="I80" s="550"/>
      <c r="J80" s="550"/>
      <c r="K80" s="550"/>
      <c r="L80" s="550"/>
      <c r="M80" s="550"/>
      <c r="N80" s="550"/>
      <c r="O80" s="346" t="s">
        <v>971</v>
      </c>
      <c r="P80" s="346" t="s">
        <v>970</v>
      </c>
    </row>
    <row r="81" spans="1:33" ht="14.25" customHeight="1">
      <c r="A81" s="190"/>
      <c r="B81" s="129"/>
      <c r="C81" s="187"/>
      <c r="D81" s="129"/>
      <c r="E81" s="187"/>
      <c r="F81" s="129"/>
      <c r="G81" s="187"/>
      <c r="H81" s="129"/>
      <c r="I81" s="129"/>
      <c r="J81" s="129"/>
      <c r="K81" s="129"/>
      <c r="L81" s="129"/>
      <c r="M81" s="129"/>
      <c r="N81" s="129"/>
      <c r="O81" s="346"/>
      <c r="P81" s="347"/>
      <c r="Q81" s="129"/>
      <c r="R81" s="129"/>
      <c r="S81" s="129"/>
      <c r="T81" s="129"/>
      <c r="U81" s="129"/>
      <c r="V81" s="129"/>
      <c r="W81" s="129"/>
      <c r="X81" s="129"/>
      <c r="Y81" s="129"/>
      <c r="Z81" s="129"/>
      <c r="AA81" s="129"/>
      <c r="AB81" s="129"/>
      <c r="AC81" s="129"/>
      <c r="AD81" s="129"/>
      <c r="AE81" s="129"/>
      <c r="AF81" s="129"/>
      <c r="AG81" s="129"/>
    </row>
    <row r="82" spans="1:33" ht="14.25" customHeight="1">
      <c r="A82" s="190"/>
      <c r="B82" s="129"/>
      <c r="C82" s="187" t="s">
        <v>87</v>
      </c>
      <c r="D82" s="129"/>
      <c r="E82" s="187"/>
      <c r="F82" s="129"/>
      <c r="G82" s="187"/>
      <c r="H82" s="129"/>
      <c r="I82" s="129"/>
      <c r="J82" s="129"/>
      <c r="K82" s="129"/>
      <c r="L82" s="129"/>
      <c r="M82" s="129"/>
      <c r="N82" s="129"/>
      <c r="O82" s="346"/>
      <c r="P82" s="347"/>
      <c r="Q82" s="129"/>
      <c r="R82" s="129"/>
      <c r="S82" s="129"/>
      <c r="T82" s="129"/>
      <c r="U82" s="129"/>
      <c r="V82" s="129"/>
      <c r="W82" s="129"/>
      <c r="X82" s="129"/>
      <c r="Y82" s="129"/>
      <c r="Z82" s="129"/>
      <c r="AA82" s="129"/>
      <c r="AB82" s="129"/>
      <c r="AC82" s="129"/>
      <c r="AD82" s="129"/>
      <c r="AE82" s="129"/>
      <c r="AF82" s="129"/>
      <c r="AG82" s="129"/>
    </row>
    <row r="83" spans="1:33" ht="14.25" customHeight="1">
      <c r="A83" s="190"/>
      <c r="B83" s="191" t="s">
        <v>80</v>
      </c>
      <c r="C83" s="192">
        <v>1</v>
      </c>
      <c r="D83" s="191" t="s">
        <v>82</v>
      </c>
      <c r="E83" s="193"/>
      <c r="G83" s="193"/>
      <c r="O83" s="339"/>
    </row>
    <row r="84" spans="1:33" ht="14.25" customHeight="1">
      <c r="A84" s="190"/>
      <c r="C84" s="193"/>
      <c r="E84" s="193"/>
      <c r="G84" s="193"/>
      <c r="O84" s="339"/>
    </row>
    <row r="85" spans="1:33">
      <c r="A85" s="245" t="s">
        <v>951</v>
      </c>
      <c r="B85" s="544" t="s">
        <v>923</v>
      </c>
      <c r="C85" s="544"/>
      <c r="D85" s="544"/>
      <c r="E85" s="544"/>
      <c r="F85" s="544"/>
      <c r="G85" s="544"/>
      <c r="H85" s="544"/>
      <c r="I85" s="544"/>
      <c r="J85" s="544"/>
      <c r="K85" s="544"/>
      <c r="L85" s="544"/>
      <c r="M85" s="544"/>
      <c r="N85" s="544"/>
      <c r="O85" s="346">
        <v>98525</v>
      </c>
      <c r="P85" s="350"/>
    </row>
    <row r="86" spans="1:33" ht="14.25" customHeight="1">
      <c r="A86" s="190"/>
      <c r="C86" s="193"/>
      <c r="E86" s="193"/>
      <c r="G86" s="193"/>
      <c r="P86" s="339"/>
    </row>
    <row r="87" spans="1:33" ht="14.25" customHeight="1">
      <c r="A87" s="190"/>
      <c r="B87" s="128" t="s">
        <v>1168</v>
      </c>
      <c r="C87" s="193"/>
      <c r="E87" s="193"/>
      <c r="G87" s="193"/>
      <c r="P87" s="339"/>
    </row>
    <row r="88" spans="1:33" ht="14.25" customHeight="1">
      <c r="A88" s="190"/>
      <c r="C88" s="193"/>
      <c r="E88" s="193"/>
      <c r="G88" s="193"/>
      <c r="P88" s="339"/>
    </row>
    <row r="89" spans="1:33" ht="14.25" customHeight="1">
      <c r="A89" s="190"/>
      <c r="C89" s="193" t="s">
        <v>77</v>
      </c>
      <c r="E89" s="187"/>
      <c r="G89" s="187"/>
      <c r="P89" s="339"/>
    </row>
    <row r="90" spans="1:33" ht="14.25" customHeight="1">
      <c r="A90" s="190"/>
      <c r="B90" s="191" t="s">
        <v>80</v>
      </c>
      <c r="C90" s="274">
        <v>2468.0300000000002</v>
      </c>
      <c r="D90" s="191" t="s">
        <v>42</v>
      </c>
      <c r="E90" s="193"/>
      <c r="F90" s="192"/>
      <c r="I90" s="193"/>
      <c r="P90" s="339"/>
    </row>
    <row r="91" spans="1:33" ht="14.25" customHeight="1">
      <c r="A91" s="190"/>
      <c r="C91" s="193"/>
      <c r="E91" s="193"/>
      <c r="G91" s="193"/>
      <c r="P91" s="339"/>
    </row>
    <row r="92" spans="1:33" ht="32.25" customHeight="1">
      <c r="A92" s="245" t="s">
        <v>952</v>
      </c>
      <c r="B92" s="544" t="s">
        <v>941</v>
      </c>
      <c r="C92" s="544"/>
      <c r="D92" s="544"/>
      <c r="E92" s="544"/>
      <c r="F92" s="544"/>
      <c r="G92" s="544"/>
      <c r="H92" s="544"/>
      <c r="I92" s="544"/>
      <c r="J92" s="544"/>
      <c r="K92" s="544"/>
      <c r="L92" s="544"/>
      <c r="M92" s="544"/>
      <c r="N92" s="544"/>
      <c r="O92" s="346">
        <v>100974</v>
      </c>
      <c r="P92" s="347"/>
    </row>
    <row r="93" spans="1:33">
      <c r="A93" s="195"/>
      <c r="B93" s="263"/>
      <c r="C93" s="263"/>
      <c r="D93" s="263"/>
      <c r="E93" s="263"/>
      <c r="F93" s="263"/>
      <c r="G93" s="263"/>
      <c r="H93" s="263"/>
      <c r="I93" s="263"/>
      <c r="J93" s="263"/>
      <c r="K93" s="263"/>
      <c r="L93" s="263"/>
      <c r="M93" s="263"/>
      <c r="N93" s="263"/>
      <c r="O93" s="346"/>
      <c r="P93" s="347"/>
    </row>
    <row r="94" spans="1:33" ht="14.25" customHeight="1">
      <c r="A94" s="186"/>
      <c r="B94" s="175"/>
      <c r="C94" s="175" t="s">
        <v>77</v>
      </c>
      <c r="D94" s="175"/>
      <c r="E94" s="248" t="s">
        <v>96</v>
      </c>
      <c r="F94" s="175"/>
      <c r="G94" s="175" t="s">
        <v>1064</v>
      </c>
      <c r="H94" s="175"/>
      <c r="I94" s="248" t="s">
        <v>91</v>
      </c>
      <c r="J94" s="175"/>
      <c r="K94" s="129"/>
      <c r="L94" s="129"/>
      <c r="M94" s="129"/>
      <c r="N94" s="129"/>
      <c r="O94" s="346"/>
      <c r="P94" s="347"/>
      <c r="Q94" s="129"/>
      <c r="R94" s="129"/>
      <c r="S94" s="129"/>
      <c r="T94" s="129"/>
      <c r="U94" s="129"/>
      <c r="V94" s="129"/>
      <c r="W94" s="129"/>
      <c r="X94" s="129"/>
      <c r="Y94" s="129"/>
      <c r="Z94" s="129"/>
      <c r="AA94" s="129"/>
      <c r="AB94" s="129"/>
      <c r="AC94" s="129"/>
      <c r="AD94" s="129"/>
      <c r="AE94" s="129"/>
      <c r="AF94" s="129"/>
      <c r="AG94" s="129"/>
    </row>
    <row r="95" spans="1:33" ht="14.25" customHeight="1">
      <c r="A95" s="186"/>
      <c r="B95" s="175" t="s">
        <v>1065</v>
      </c>
      <c r="C95" s="289">
        <f>C90</f>
        <v>2468.0300000000002</v>
      </c>
      <c r="D95" s="175" t="s">
        <v>103</v>
      </c>
      <c r="E95" s="248">
        <v>0.2</v>
      </c>
      <c r="F95" s="175" t="s">
        <v>78</v>
      </c>
      <c r="G95" s="248">
        <v>1.3</v>
      </c>
      <c r="H95" s="175" t="s">
        <v>1066</v>
      </c>
      <c r="I95" s="248">
        <f>C95*E95*G95</f>
        <v>641.68780000000004</v>
      </c>
      <c r="J95" s="175" t="s">
        <v>44</v>
      </c>
      <c r="K95" s="129"/>
      <c r="L95" s="129"/>
      <c r="M95" s="129"/>
      <c r="N95" s="129"/>
      <c r="O95" s="346"/>
      <c r="P95" s="347"/>
      <c r="Q95" s="129"/>
      <c r="R95" s="129"/>
      <c r="S95" s="129"/>
      <c r="T95" s="129"/>
      <c r="U95" s="129"/>
      <c r="V95" s="129"/>
      <c r="W95" s="129"/>
      <c r="X95" s="129"/>
      <c r="Y95" s="129"/>
      <c r="Z95" s="129"/>
      <c r="AA95" s="129"/>
      <c r="AB95" s="129"/>
      <c r="AC95" s="129"/>
      <c r="AD95" s="129"/>
      <c r="AE95" s="129"/>
      <c r="AF95" s="129"/>
      <c r="AG95" s="129"/>
    </row>
    <row r="96" spans="1:33" ht="14.25" customHeight="1">
      <c r="A96" s="186"/>
      <c r="B96" s="175"/>
      <c r="C96" s="289"/>
      <c r="D96" s="175"/>
      <c r="E96" s="248"/>
      <c r="F96" s="175"/>
      <c r="G96" s="248"/>
      <c r="H96" s="175"/>
      <c r="I96" s="248"/>
      <c r="J96" s="175"/>
      <c r="K96" s="129"/>
      <c r="L96" s="129"/>
      <c r="M96" s="129"/>
      <c r="N96" s="129"/>
      <c r="O96" s="346"/>
      <c r="P96" s="347"/>
      <c r="Q96" s="129"/>
      <c r="R96" s="129"/>
      <c r="S96" s="129"/>
      <c r="T96" s="129"/>
      <c r="U96" s="129"/>
      <c r="V96" s="129"/>
      <c r="W96" s="129"/>
      <c r="X96" s="129"/>
      <c r="Y96" s="129"/>
      <c r="Z96" s="129"/>
      <c r="AA96" s="129"/>
      <c r="AB96" s="129"/>
      <c r="AC96" s="129"/>
      <c r="AD96" s="129"/>
      <c r="AE96" s="129"/>
      <c r="AF96" s="129"/>
      <c r="AG96" s="129"/>
    </row>
    <row r="97" spans="1:33" s="191" customFormat="1" ht="14.25" customHeight="1">
      <c r="A97" s="290"/>
      <c r="B97" s="191" t="s">
        <v>92</v>
      </c>
      <c r="C97" s="274">
        <f>I95</f>
        <v>641.68780000000004</v>
      </c>
      <c r="D97" s="191" t="s">
        <v>44</v>
      </c>
      <c r="E97" s="192"/>
      <c r="G97" s="192"/>
      <c r="O97" s="351"/>
      <c r="P97" s="273"/>
    </row>
    <row r="98" spans="1:33" ht="14.25" customHeight="1">
      <c r="A98" s="190"/>
      <c r="C98" s="193"/>
      <c r="E98" s="193"/>
      <c r="G98" s="193"/>
      <c r="O98" s="339"/>
    </row>
    <row r="99" spans="1:33" ht="15" customHeight="1">
      <c r="A99" s="245" t="s">
        <v>1070</v>
      </c>
      <c r="B99" s="544" t="s">
        <v>942</v>
      </c>
      <c r="C99" s="544"/>
      <c r="D99" s="544"/>
      <c r="E99" s="544"/>
      <c r="F99" s="544"/>
      <c r="G99" s="544"/>
      <c r="H99" s="544"/>
      <c r="I99" s="544"/>
      <c r="J99" s="544"/>
      <c r="K99" s="544"/>
      <c r="L99" s="544"/>
      <c r="M99" s="544"/>
      <c r="N99" s="544"/>
      <c r="O99" s="346">
        <v>93589</v>
      </c>
      <c r="P99" s="347"/>
    </row>
    <row r="100" spans="1:33" ht="14.25" customHeight="1">
      <c r="A100" s="186"/>
      <c r="B100" s="129"/>
      <c r="C100" s="187"/>
      <c r="D100" s="129"/>
      <c r="E100" s="187"/>
      <c r="F100" s="129"/>
      <c r="G100" s="187"/>
      <c r="H100" s="129"/>
      <c r="I100" s="129"/>
      <c r="J100" s="129"/>
      <c r="K100" s="129"/>
      <c r="L100" s="129"/>
      <c r="M100" s="129"/>
      <c r="N100" s="129"/>
      <c r="O100" s="346"/>
      <c r="P100" s="347"/>
      <c r="Q100" s="129"/>
      <c r="R100" s="129"/>
      <c r="S100" s="129"/>
      <c r="T100" s="129"/>
      <c r="U100" s="129"/>
      <c r="V100" s="129"/>
      <c r="W100" s="129"/>
      <c r="X100" s="129"/>
      <c r="Y100" s="129"/>
      <c r="Z100" s="129"/>
      <c r="AA100" s="129"/>
      <c r="AB100" s="129"/>
      <c r="AC100" s="129"/>
      <c r="AD100" s="129"/>
      <c r="AE100" s="129"/>
      <c r="AF100" s="129"/>
      <c r="AG100" s="129"/>
    </row>
    <row r="101" spans="1:33" ht="14.25" customHeight="1">
      <c r="A101" s="186"/>
      <c r="B101" s="554" t="s">
        <v>1067</v>
      </c>
      <c r="C101" s="554"/>
      <c r="D101" s="554"/>
      <c r="E101" s="554"/>
      <c r="F101" s="554"/>
      <c r="G101" s="554"/>
      <c r="H101" s="554"/>
      <c r="I101" s="554"/>
      <c r="J101" s="554"/>
      <c r="K101" s="554"/>
      <c r="L101" s="554"/>
      <c r="M101" s="554"/>
      <c r="N101" s="554"/>
      <c r="O101" s="346"/>
      <c r="P101" s="347"/>
      <c r="Q101" s="129"/>
      <c r="R101" s="129"/>
      <c r="S101" s="129"/>
      <c r="T101" s="129"/>
      <c r="U101" s="129"/>
      <c r="V101" s="129"/>
      <c r="W101" s="129"/>
      <c r="X101" s="129"/>
      <c r="Y101" s="129"/>
      <c r="Z101" s="129"/>
      <c r="AA101" s="129"/>
      <c r="AB101" s="129"/>
      <c r="AC101" s="129"/>
      <c r="AD101" s="129"/>
      <c r="AE101" s="129"/>
      <c r="AF101" s="129"/>
      <c r="AG101" s="129"/>
    </row>
    <row r="102" spans="1:33" ht="14.25" customHeight="1">
      <c r="A102" s="186"/>
      <c r="B102" s="129"/>
      <c r="C102" s="187"/>
      <c r="D102" s="129"/>
      <c r="E102" s="187"/>
      <c r="F102" s="129"/>
      <c r="G102" s="187"/>
      <c r="H102" s="129"/>
      <c r="I102" s="129"/>
      <c r="J102" s="129"/>
      <c r="K102" s="129"/>
      <c r="L102" s="129"/>
      <c r="M102" s="129"/>
      <c r="N102" s="129"/>
      <c r="O102" s="346"/>
      <c r="P102" s="347"/>
      <c r="Q102" s="129"/>
      <c r="R102" s="129"/>
      <c r="S102" s="129"/>
      <c r="T102" s="129"/>
      <c r="U102" s="129"/>
      <c r="V102" s="129"/>
      <c r="W102" s="129"/>
      <c r="X102" s="129"/>
      <c r="Y102" s="129"/>
      <c r="Z102" s="129"/>
      <c r="AA102" s="129"/>
      <c r="AB102" s="129"/>
      <c r="AC102" s="129"/>
      <c r="AD102" s="129"/>
      <c r="AE102" s="129"/>
      <c r="AF102" s="129"/>
      <c r="AG102" s="129"/>
    </row>
    <row r="103" spans="1:33" ht="14.25" customHeight="1">
      <c r="A103" s="186"/>
      <c r="B103" s="129"/>
      <c r="C103" s="187" t="s">
        <v>943</v>
      </c>
      <c r="D103" s="129"/>
      <c r="E103" s="187"/>
      <c r="F103" s="129"/>
      <c r="G103" s="187"/>
      <c r="H103" s="129"/>
      <c r="I103" s="129"/>
      <c r="J103" s="129"/>
      <c r="K103" s="129"/>
      <c r="L103" s="129"/>
      <c r="M103" s="129"/>
      <c r="N103" s="129"/>
      <c r="O103" s="346"/>
      <c r="P103" s="347"/>
      <c r="Q103" s="129"/>
      <c r="R103" s="129"/>
      <c r="S103" s="129"/>
      <c r="T103" s="129"/>
      <c r="U103" s="129"/>
      <c r="V103" s="129"/>
      <c r="W103" s="129"/>
      <c r="X103" s="129"/>
      <c r="Y103" s="129"/>
      <c r="Z103" s="129"/>
      <c r="AA103" s="129"/>
      <c r="AB103" s="129"/>
      <c r="AC103" s="129"/>
      <c r="AD103" s="129"/>
      <c r="AE103" s="129"/>
      <c r="AF103" s="129"/>
      <c r="AG103" s="129"/>
    </row>
    <row r="104" spans="1:33" s="191" customFormat="1" ht="14.25" customHeight="1">
      <c r="A104" s="290"/>
      <c r="B104" s="191" t="s">
        <v>92</v>
      </c>
      <c r="C104" s="274">
        <f>C97*10</f>
        <v>6416.8780000000006</v>
      </c>
      <c r="D104" s="191" t="s">
        <v>944</v>
      </c>
      <c r="E104" s="192"/>
      <c r="G104" s="192"/>
      <c r="O104" s="351"/>
      <c r="P104" s="273"/>
    </row>
    <row r="105" spans="1:33" ht="14.25" customHeight="1">
      <c r="A105" s="190"/>
      <c r="C105" s="193"/>
      <c r="E105" s="193"/>
      <c r="G105" s="193"/>
      <c r="O105" s="339"/>
    </row>
    <row r="106" spans="1:33">
      <c r="A106" s="245" t="s">
        <v>1071</v>
      </c>
      <c r="B106" s="544" t="s">
        <v>1068</v>
      </c>
      <c r="C106" s="544"/>
      <c r="D106" s="544"/>
      <c r="E106" s="544"/>
      <c r="F106" s="544"/>
      <c r="G106" s="544"/>
      <c r="H106" s="544"/>
      <c r="I106" s="544"/>
      <c r="J106" s="544"/>
      <c r="K106" s="544"/>
      <c r="L106" s="544"/>
      <c r="M106" s="544"/>
      <c r="N106" s="544"/>
      <c r="O106" s="264" t="s">
        <v>1069</v>
      </c>
      <c r="P106" s="339"/>
    </row>
    <row r="107" spans="1:33" ht="14.25" customHeight="1">
      <c r="A107" s="190"/>
      <c r="C107" s="193"/>
      <c r="E107" s="193"/>
      <c r="G107" s="193"/>
      <c r="P107" s="339"/>
    </row>
    <row r="108" spans="1:33" ht="14.25" customHeight="1">
      <c r="A108" s="190"/>
      <c r="C108" s="193" t="s">
        <v>77</v>
      </c>
      <c r="E108" s="193"/>
      <c r="F108" s="294"/>
      <c r="G108" s="193"/>
      <c r="H108" s="191"/>
      <c r="P108" s="339"/>
    </row>
    <row r="109" spans="1:33" s="191" customFormat="1" ht="14.25" customHeight="1">
      <c r="A109" s="290"/>
      <c r="B109" s="191" t="s">
        <v>92</v>
      </c>
      <c r="C109" s="274">
        <f>C90</f>
        <v>2468.0300000000002</v>
      </c>
      <c r="D109" s="191" t="s">
        <v>42</v>
      </c>
      <c r="E109" s="192"/>
      <c r="G109" s="192"/>
      <c r="O109" s="273"/>
      <c r="P109" s="351"/>
    </row>
    <row r="110" spans="1:33" ht="14.25" customHeight="1">
      <c r="A110" s="190"/>
      <c r="C110" s="193"/>
      <c r="E110" s="193"/>
      <c r="G110" s="193"/>
      <c r="J110" s="294"/>
      <c r="P110" s="339"/>
    </row>
    <row r="111" spans="1:33" ht="15.75" customHeight="1">
      <c r="A111" s="245" t="s">
        <v>1072</v>
      </c>
      <c r="B111" s="544" t="s">
        <v>43</v>
      </c>
      <c r="C111" s="550"/>
      <c r="D111" s="550"/>
      <c r="E111" s="550"/>
      <c r="F111" s="550"/>
      <c r="G111" s="550"/>
      <c r="H111" s="550"/>
      <c r="I111" s="550"/>
      <c r="J111" s="550"/>
      <c r="K111" s="550"/>
      <c r="L111" s="550"/>
      <c r="M111" s="550"/>
      <c r="N111" s="550"/>
      <c r="O111" s="346" t="s">
        <v>1010</v>
      </c>
      <c r="P111" s="352" t="s">
        <v>74</v>
      </c>
      <c r="Q111" s="275"/>
    </row>
    <row r="112" spans="1:33" ht="15.75" customHeight="1">
      <c r="A112" s="195"/>
      <c r="B112" s="263"/>
      <c r="C112" s="196"/>
      <c r="D112" s="196"/>
      <c r="E112" s="196"/>
      <c r="F112" s="196"/>
      <c r="G112" s="196"/>
      <c r="H112" s="196"/>
      <c r="I112" s="196"/>
      <c r="J112" s="196"/>
      <c r="K112" s="196"/>
      <c r="L112" s="196"/>
      <c r="M112" s="196"/>
      <c r="N112" s="196"/>
      <c r="O112" s="346"/>
      <c r="P112" s="352"/>
      <c r="Q112" s="275"/>
    </row>
    <row r="113" spans="1:33" ht="14.25" customHeight="1">
      <c r="A113" s="190"/>
      <c r="B113" s="575" t="s">
        <v>229</v>
      </c>
      <c r="C113" s="575"/>
      <c r="D113" s="575"/>
      <c r="E113" s="575"/>
      <c r="F113" s="575"/>
      <c r="G113" s="575"/>
      <c r="H113" s="575"/>
      <c r="I113" s="575"/>
      <c r="J113" s="575"/>
      <c r="K113" s="575"/>
      <c r="L113" s="575"/>
      <c r="M113" s="575"/>
      <c r="N113" s="575"/>
      <c r="O113" s="339"/>
    </row>
    <row r="114" spans="1:33" ht="15" customHeight="1">
      <c r="A114" s="194"/>
      <c r="B114" s="194"/>
      <c r="C114" s="194"/>
      <c r="D114" s="194"/>
      <c r="E114" s="194"/>
      <c r="F114" s="194"/>
      <c r="G114" s="194"/>
      <c r="H114" s="194"/>
      <c r="I114" s="194"/>
      <c r="J114" s="194"/>
      <c r="K114" s="194"/>
      <c r="L114" s="194"/>
      <c r="M114" s="194"/>
      <c r="N114" s="194"/>
      <c r="O114" s="257"/>
      <c r="P114" s="353"/>
      <c r="Q114" s="353"/>
    </row>
    <row r="115" spans="1:33" ht="14.25" customHeight="1">
      <c r="A115" s="190"/>
      <c r="C115" s="193" t="s">
        <v>77</v>
      </c>
      <c r="E115" s="187"/>
      <c r="G115" s="193"/>
      <c r="O115" s="339"/>
    </row>
    <row r="116" spans="1:33" ht="14.25" customHeight="1">
      <c r="A116" s="190"/>
      <c r="B116" s="128" t="s">
        <v>1325</v>
      </c>
      <c r="C116" s="197">
        <v>957</v>
      </c>
      <c r="D116" s="128" t="s">
        <v>42</v>
      </c>
      <c r="E116" s="193"/>
      <c r="G116" s="251"/>
      <c r="O116" s="339"/>
    </row>
    <row r="117" spans="1:33" ht="14.25" customHeight="1">
      <c r="A117" s="190"/>
      <c r="B117" s="128" t="s">
        <v>230</v>
      </c>
      <c r="C117" s="197">
        <f>2.9*2.9</f>
        <v>8.41</v>
      </c>
      <c r="D117" s="128" t="s">
        <v>42</v>
      </c>
      <c r="E117" s="193"/>
      <c r="G117" s="193"/>
      <c r="O117" s="339"/>
    </row>
    <row r="118" spans="1:33" ht="14.25" customHeight="1">
      <c r="A118" s="190"/>
      <c r="B118" s="128" t="s">
        <v>1267</v>
      </c>
      <c r="C118" s="197">
        <f>2</f>
        <v>2</v>
      </c>
      <c r="D118" s="128" t="s">
        <v>42</v>
      </c>
      <c r="E118" s="193"/>
      <c r="G118" s="251"/>
      <c r="O118" s="339"/>
    </row>
    <row r="119" spans="1:33" ht="14.25" customHeight="1">
      <c r="A119" s="190"/>
      <c r="B119" s="128" t="s">
        <v>502</v>
      </c>
      <c r="C119" s="197">
        <v>3</v>
      </c>
      <c r="D119" s="128" t="s">
        <v>42</v>
      </c>
      <c r="E119" s="193"/>
      <c r="G119" s="251"/>
      <c r="O119" s="339"/>
    </row>
    <row r="120" spans="1:33" ht="14.25" customHeight="1">
      <c r="A120" s="190"/>
      <c r="C120" s="193"/>
      <c r="E120" s="193"/>
      <c r="G120" s="251"/>
      <c r="O120" s="339"/>
    </row>
    <row r="121" spans="1:33" s="191" customFormat="1" ht="14.25" customHeight="1">
      <c r="A121" s="290"/>
      <c r="B121" s="191" t="s">
        <v>92</v>
      </c>
      <c r="C121" s="274">
        <f>SUM(C116:C119)</f>
        <v>970.41</v>
      </c>
      <c r="D121" s="191" t="s">
        <v>42</v>
      </c>
      <c r="E121" s="192"/>
      <c r="G121" s="192"/>
      <c r="O121" s="351"/>
      <c r="P121" s="273"/>
    </row>
    <row r="122" spans="1:33" ht="14.25" customHeight="1">
      <c r="A122" s="190"/>
      <c r="C122" s="193"/>
      <c r="E122" s="193"/>
      <c r="G122" s="193"/>
      <c r="O122" s="339"/>
    </row>
    <row r="123" spans="1:33">
      <c r="A123" s="245" t="s">
        <v>1073</v>
      </c>
      <c r="B123" s="544" t="s">
        <v>1336</v>
      </c>
      <c r="C123" s="550"/>
      <c r="D123" s="550"/>
      <c r="E123" s="550"/>
      <c r="F123" s="550"/>
      <c r="G123" s="550"/>
      <c r="H123" s="550"/>
      <c r="I123" s="550"/>
      <c r="J123" s="550"/>
      <c r="K123" s="550"/>
      <c r="L123" s="550"/>
      <c r="M123" s="550"/>
      <c r="N123" s="550"/>
      <c r="O123" s="346" t="s">
        <v>1335</v>
      </c>
      <c r="P123" s="346" t="s">
        <v>74</v>
      </c>
    </row>
    <row r="124" spans="1:33" ht="14.25" customHeight="1">
      <c r="A124" s="190"/>
      <c r="B124" s="129"/>
      <c r="C124" s="187"/>
      <c r="D124" s="129"/>
      <c r="E124" s="187"/>
      <c r="F124" s="129"/>
      <c r="G124" s="187"/>
      <c r="H124" s="129"/>
      <c r="I124" s="129"/>
      <c r="J124" s="129"/>
      <c r="K124" s="129"/>
      <c r="L124" s="129"/>
      <c r="M124" s="129"/>
      <c r="N124" s="129"/>
      <c r="O124" s="346"/>
      <c r="P124" s="347"/>
      <c r="Q124" s="129"/>
      <c r="R124" s="129"/>
      <c r="S124" s="129"/>
      <c r="T124" s="129"/>
      <c r="U124" s="129"/>
      <c r="V124" s="129"/>
      <c r="W124" s="129"/>
      <c r="X124" s="129"/>
      <c r="Y124" s="129"/>
      <c r="Z124" s="129"/>
      <c r="AA124" s="129"/>
      <c r="AB124" s="129"/>
      <c r="AC124" s="129"/>
      <c r="AD124" s="129"/>
      <c r="AE124" s="129"/>
      <c r="AF124" s="129"/>
      <c r="AG124" s="129"/>
    </row>
    <row r="125" spans="1:33" ht="14.25" customHeight="1">
      <c r="A125" s="190"/>
      <c r="B125" s="129"/>
      <c r="C125" s="187" t="s">
        <v>87</v>
      </c>
      <c r="D125" s="129"/>
      <c r="E125" s="187"/>
      <c r="F125" s="129"/>
      <c r="G125" s="187"/>
      <c r="H125" s="129"/>
      <c r="I125" s="129"/>
      <c r="J125" s="129"/>
      <c r="K125" s="129"/>
      <c r="L125" s="129"/>
      <c r="M125" s="129"/>
      <c r="N125" s="129"/>
      <c r="O125" s="346"/>
      <c r="P125" s="347"/>
      <c r="Q125" s="129"/>
      <c r="R125" s="129"/>
      <c r="S125" s="129"/>
      <c r="T125" s="129"/>
      <c r="U125" s="129"/>
      <c r="V125" s="129"/>
      <c r="W125" s="129"/>
      <c r="X125" s="129"/>
      <c r="Y125" s="129"/>
      <c r="Z125" s="129"/>
      <c r="AA125" s="129"/>
      <c r="AB125" s="129"/>
      <c r="AC125" s="129"/>
      <c r="AD125" s="129"/>
      <c r="AE125" s="129"/>
      <c r="AF125" s="129"/>
      <c r="AG125" s="129"/>
    </row>
    <row r="126" spans="1:33" ht="14.25" customHeight="1">
      <c r="A126" s="190"/>
      <c r="B126" s="191" t="s">
        <v>80</v>
      </c>
      <c r="C126" s="192">
        <v>1</v>
      </c>
      <c r="D126" s="191" t="s">
        <v>82</v>
      </c>
      <c r="E126" s="193"/>
      <c r="G126" s="251"/>
      <c r="O126" s="339"/>
    </row>
    <row r="127" spans="1:33" ht="14.25" customHeight="1">
      <c r="A127" s="190"/>
      <c r="C127" s="193"/>
      <c r="E127" s="193"/>
      <c r="G127" s="193"/>
      <c r="O127" s="339"/>
    </row>
    <row r="128" spans="1:33" ht="14.25" customHeight="1">
      <c r="A128" s="188" t="s">
        <v>97</v>
      </c>
      <c r="B128" s="551" t="s">
        <v>45</v>
      </c>
      <c r="C128" s="552"/>
      <c r="D128" s="552"/>
      <c r="E128" s="552"/>
      <c r="F128" s="552"/>
      <c r="G128" s="552"/>
      <c r="H128" s="552"/>
      <c r="I128" s="552"/>
      <c r="J128" s="552"/>
      <c r="K128" s="552"/>
      <c r="L128" s="552"/>
      <c r="M128" s="552"/>
      <c r="N128" s="552"/>
      <c r="O128" s="346"/>
      <c r="P128" s="347"/>
    </row>
    <row r="129" spans="1:17" ht="14.25" customHeight="1">
      <c r="A129" s="190"/>
      <c r="C129" s="193"/>
      <c r="E129" s="193"/>
      <c r="G129" s="193"/>
      <c r="P129" s="350"/>
    </row>
    <row r="130" spans="1:17">
      <c r="A130" s="245" t="s">
        <v>1268</v>
      </c>
      <c r="B130" s="544" t="s">
        <v>312</v>
      </c>
      <c r="C130" s="550"/>
      <c r="D130" s="550"/>
      <c r="E130" s="550"/>
      <c r="F130" s="550"/>
      <c r="G130" s="550"/>
      <c r="H130" s="550"/>
      <c r="I130" s="550"/>
      <c r="J130" s="550"/>
      <c r="K130" s="550"/>
      <c r="L130" s="550"/>
      <c r="M130" s="550"/>
      <c r="N130" s="550"/>
      <c r="O130" s="346">
        <v>97084</v>
      </c>
      <c r="P130" s="350"/>
    </row>
    <row r="131" spans="1:17" ht="15" customHeight="1">
      <c r="A131" s="194"/>
      <c r="B131" s="246"/>
      <c r="C131" s="246"/>
      <c r="D131" s="246"/>
      <c r="E131" s="246"/>
      <c r="F131" s="246"/>
      <c r="G131" s="246"/>
      <c r="H131" s="246"/>
      <c r="I131" s="246"/>
      <c r="J131" s="246"/>
      <c r="K131" s="246"/>
      <c r="L131" s="246"/>
      <c r="M131" s="246"/>
      <c r="N131" s="246"/>
      <c r="O131" s="346"/>
      <c r="P131" s="353"/>
      <c r="Q131" s="353"/>
    </row>
    <row r="132" spans="1:17" ht="14.25" customHeight="1">
      <c r="A132" s="190"/>
      <c r="C132" s="193" t="s">
        <v>77</v>
      </c>
      <c r="E132" s="187"/>
      <c r="G132" s="193"/>
      <c r="O132" s="339"/>
    </row>
    <row r="133" spans="1:17" ht="14.25" customHeight="1">
      <c r="A133" s="190"/>
      <c r="B133" s="128" t="s">
        <v>1325</v>
      </c>
      <c r="C133" s="197">
        <f>C116</f>
        <v>957</v>
      </c>
      <c r="D133" s="128" t="s">
        <v>42</v>
      </c>
      <c r="E133" s="193"/>
      <c r="G133" s="251"/>
      <c r="O133" s="339"/>
    </row>
    <row r="134" spans="1:17" ht="14.25" customHeight="1">
      <c r="A134" s="190"/>
      <c r="B134" s="128" t="s">
        <v>230</v>
      </c>
      <c r="C134" s="197">
        <f t="shared" ref="C134:C136" si="0">C117</f>
        <v>8.41</v>
      </c>
      <c r="D134" s="128" t="s">
        <v>42</v>
      </c>
      <c r="E134" s="193"/>
      <c r="G134" s="193"/>
      <c r="O134" s="339"/>
    </row>
    <row r="135" spans="1:17" ht="14.25" customHeight="1">
      <c r="A135" s="190"/>
      <c r="B135" s="128" t="s">
        <v>1267</v>
      </c>
      <c r="C135" s="197">
        <f t="shared" si="0"/>
        <v>2</v>
      </c>
      <c r="D135" s="128" t="s">
        <v>42</v>
      </c>
      <c r="E135" s="193"/>
      <c r="G135" s="251"/>
      <c r="O135" s="339"/>
    </row>
    <row r="136" spans="1:17" ht="14.25" customHeight="1">
      <c r="A136" s="190"/>
      <c r="B136" s="128" t="s">
        <v>502</v>
      </c>
      <c r="C136" s="197">
        <f t="shared" si="0"/>
        <v>3</v>
      </c>
      <c r="D136" s="128" t="s">
        <v>42</v>
      </c>
      <c r="E136" s="193"/>
      <c r="G136" s="251"/>
      <c r="O136" s="339"/>
    </row>
    <row r="137" spans="1:17" ht="14.25" customHeight="1">
      <c r="A137" s="190"/>
      <c r="C137" s="193"/>
      <c r="E137" s="193"/>
      <c r="G137" s="251"/>
      <c r="O137" s="339"/>
    </row>
    <row r="138" spans="1:17" s="191" customFormat="1" ht="14.25" customHeight="1">
      <c r="A138" s="290"/>
      <c r="B138" s="191" t="s">
        <v>92</v>
      </c>
      <c r="C138" s="274">
        <f>SUM(C133:C136)</f>
        <v>970.41</v>
      </c>
      <c r="D138" s="191" t="s">
        <v>42</v>
      </c>
      <c r="E138" s="192"/>
      <c r="G138" s="192"/>
      <c r="O138" s="351"/>
      <c r="P138" s="273"/>
    </row>
    <row r="139" spans="1:17" ht="14.25" customHeight="1">
      <c r="A139" s="190"/>
      <c r="C139" s="193"/>
      <c r="E139" s="193"/>
      <c r="G139" s="193"/>
      <c r="O139" s="339"/>
    </row>
    <row r="140" spans="1:17" s="189" customFormat="1" ht="32.25" customHeight="1">
      <c r="A140" s="245" t="s">
        <v>1269</v>
      </c>
      <c r="B140" s="559" t="s">
        <v>313</v>
      </c>
      <c r="C140" s="578"/>
      <c r="D140" s="578"/>
      <c r="E140" s="578"/>
      <c r="F140" s="578"/>
      <c r="G140" s="578"/>
      <c r="H140" s="578"/>
      <c r="I140" s="578"/>
      <c r="J140" s="578"/>
      <c r="K140" s="578"/>
      <c r="L140" s="578"/>
      <c r="M140" s="578"/>
      <c r="N140" s="578"/>
      <c r="O140" s="346">
        <v>102307</v>
      </c>
      <c r="P140" s="350"/>
    </row>
    <row r="141" spans="1:17" s="258" customFormat="1">
      <c r="A141" s="194"/>
      <c r="B141" s="246"/>
      <c r="C141" s="246"/>
      <c r="D141" s="246"/>
      <c r="E141" s="246"/>
      <c r="F141" s="246"/>
      <c r="G141" s="246"/>
      <c r="H141" s="246"/>
      <c r="I141" s="246"/>
      <c r="J141" s="246"/>
      <c r="K141" s="246"/>
      <c r="L141" s="305"/>
      <c r="M141" s="246"/>
      <c r="N141" s="246"/>
      <c r="O141" s="346"/>
      <c r="P141" s="354"/>
    </row>
    <row r="142" spans="1:17" s="258" customFormat="1" ht="14.25">
      <c r="A142" s="306"/>
      <c r="B142" s="575" t="s">
        <v>311</v>
      </c>
      <c r="C142" s="575"/>
      <c r="D142" s="575"/>
      <c r="E142" s="575"/>
      <c r="F142" s="575"/>
      <c r="G142" s="575"/>
      <c r="H142" s="575"/>
      <c r="I142" s="575"/>
      <c r="J142" s="575"/>
      <c r="K142" s="575"/>
      <c r="L142" s="575"/>
      <c r="M142" s="575"/>
      <c r="N142" s="575"/>
      <c r="O142" s="355"/>
      <c r="P142" s="354"/>
    </row>
    <row r="143" spans="1:17" ht="14.25" customHeight="1">
      <c r="A143" s="306"/>
      <c r="B143" s="272"/>
      <c r="C143" s="272"/>
      <c r="D143" s="272"/>
      <c r="E143" s="272"/>
      <c r="F143" s="272"/>
      <c r="G143" s="272"/>
      <c r="H143" s="272"/>
      <c r="I143" s="272"/>
      <c r="J143" s="272"/>
      <c r="K143" s="272"/>
      <c r="L143" s="272"/>
      <c r="M143" s="272"/>
      <c r="N143" s="272"/>
      <c r="O143" s="355"/>
    </row>
    <row r="144" spans="1:17" ht="14.25" customHeight="1">
      <c r="A144" s="190"/>
      <c r="C144" s="193" t="s">
        <v>75</v>
      </c>
      <c r="E144" s="193" t="s">
        <v>86</v>
      </c>
      <c r="G144" s="128" t="s">
        <v>76</v>
      </c>
      <c r="I144" s="128" t="s">
        <v>87</v>
      </c>
      <c r="K144" s="193" t="s">
        <v>91</v>
      </c>
      <c r="O144" s="339"/>
    </row>
    <row r="145" spans="1:16" ht="14.25" customHeight="1">
      <c r="A145" s="307" t="s">
        <v>98</v>
      </c>
      <c r="B145" s="128" t="s">
        <v>1298</v>
      </c>
      <c r="C145" s="193">
        <f>0.8+0.2</f>
        <v>1</v>
      </c>
      <c r="D145" s="128" t="s">
        <v>78</v>
      </c>
      <c r="E145" s="193">
        <f>0.8+0.2</f>
        <v>1</v>
      </c>
      <c r="F145" s="128" t="s">
        <v>78</v>
      </c>
      <c r="G145" s="193">
        <f>0.3+0.05</f>
        <v>0.35</v>
      </c>
      <c r="H145" s="128" t="s">
        <v>78</v>
      </c>
      <c r="I145" s="193">
        <v>8</v>
      </c>
      <c r="J145" s="128" t="s">
        <v>95</v>
      </c>
      <c r="K145" s="193">
        <f>C145*E145*G145*I145</f>
        <v>2.8</v>
      </c>
      <c r="L145" s="128" t="s">
        <v>44</v>
      </c>
      <c r="O145" s="339"/>
    </row>
    <row r="146" spans="1:16" ht="14.25" customHeight="1">
      <c r="A146" s="307"/>
      <c r="B146" s="128" t="s">
        <v>384</v>
      </c>
      <c r="C146" s="193">
        <f>0.4+0.2</f>
        <v>0.60000000000000009</v>
      </c>
      <c r="D146" s="128" t="s">
        <v>78</v>
      </c>
      <c r="E146" s="193">
        <f>0.4+0.2</f>
        <v>0.60000000000000009</v>
      </c>
      <c r="F146" s="128" t="s">
        <v>78</v>
      </c>
      <c r="G146" s="193">
        <v>0.45</v>
      </c>
      <c r="H146" s="128" t="s">
        <v>78</v>
      </c>
      <c r="I146" s="193">
        <v>4</v>
      </c>
      <c r="J146" s="128" t="s">
        <v>95</v>
      </c>
      <c r="K146" s="193">
        <f>C146*E146*G146*I146</f>
        <v>0.64800000000000024</v>
      </c>
      <c r="L146" s="128" t="s">
        <v>44</v>
      </c>
      <c r="O146" s="339"/>
    </row>
    <row r="147" spans="1:16" ht="14.25" customHeight="1">
      <c r="A147" s="190"/>
      <c r="C147" s="193"/>
      <c r="E147" s="193"/>
      <c r="G147" s="193"/>
      <c r="I147" s="193"/>
      <c r="K147" s="193"/>
      <c r="O147" s="339"/>
    </row>
    <row r="148" spans="1:16" ht="14.25" customHeight="1">
      <c r="A148" s="190"/>
      <c r="B148" s="191" t="s">
        <v>92</v>
      </c>
      <c r="C148" s="192">
        <f>SUM(K145:K146)</f>
        <v>3.448</v>
      </c>
      <c r="D148" s="191" t="s">
        <v>44</v>
      </c>
      <c r="E148" s="193"/>
      <c r="G148" s="193"/>
      <c r="I148" s="193"/>
      <c r="K148" s="193"/>
      <c r="O148" s="339"/>
    </row>
    <row r="149" spans="1:16" ht="14.25" customHeight="1">
      <c r="A149" s="190"/>
      <c r="C149" s="193"/>
      <c r="E149" s="193"/>
      <c r="G149" s="193"/>
      <c r="I149" s="193"/>
      <c r="K149" s="193"/>
      <c r="O149" s="339"/>
      <c r="P149" s="350"/>
    </row>
    <row r="150" spans="1:16" ht="14.25" customHeight="1">
      <c r="A150" s="245" t="s">
        <v>1270</v>
      </c>
      <c r="B150" s="544" t="s">
        <v>104</v>
      </c>
      <c r="C150" s="550"/>
      <c r="D150" s="550"/>
      <c r="E150" s="550"/>
      <c r="F150" s="550"/>
      <c r="G150" s="550"/>
      <c r="H150" s="550"/>
      <c r="I150" s="550"/>
      <c r="J150" s="550"/>
      <c r="K150" s="550"/>
      <c r="L150" s="550"/>
      <c r="M150" s="550"/>
      <c r="N150" s="550"/>
      <c r="O150" s="346">
        <v>101616</v>
      </c>
    </row>
    <row r="151" spans="1:16" ht="14.25" customHeight="1">
      <c r="A151" s="190"/>
      <c r="C151" s="193"/>
      <c r="E151" s="193"/>
      <c r="G151" s="193"/>
      <c r="O151" s="339"/>
    </row>
    <row r="152" spans="1:16" ht="14.25" customHeight="1">
      <c r="A152" s="190"/>
      <c r="C152" s="193" t="s">
        <v>75</v>
      </c>
      <c r="E152" s="193" t="s">
        <v>86</v>
      </c>
      <c r="G152" s="128" t="s">
        <v>87</v>
      </c>
      <c r="I152" s="193" t="s">
        <v>77</v>
      </c>
      <c r="J152" s="191"/>
      <c r="O152" s="339"/>
    </row>
    <row r="153" spans="1:16" ht="14.25" customHeight="1">
      <c r="A153" s="307" t="s">
        <v>98</v>
      </c>
      <c r="B153" s="128" t="s">
        <v>1298</v>
      </c>
      <c r="C153" s="193">
        <f>C145</f>
        <v>1</v>
      </c>
      <c r="D153" s="128" t="s">
        <v>78</v>
      </c>
      <c r="E153" s="193">
        <f>E145</f>
        <v>1</v>
      </c>
      <c r="F153" s="128" t="s">
        <v>78</v>
      </c>
      <c r="G153" s="193">
        <f>I145</f>
        <v>8</v>
      </c>
      <c r="H153" s="128" t="s">
        <v>95</v>
      </c>
      <c r="I153" s="193">
        <f>C153*E153*G153</f>
        <v>8</v>
      </c>
      <c r="J153" s="128" t="s">
        <v>42</v>
      </c>
      <c r="K153" s="193"/>
      <c r="O153" s="339"/>
    </row>
    <row r="154" spans="1:16" ht="14.25" customHeight="1">
      <c r="A154" s="307"/>
      <c r="B154" s="128" t="s">
        <v>384</v>
      </c>
      <c r="C154" s="193">
        <f>C146</f>
        <v>0.60000000000000009</v>
      </c>
      <c r="D154" s="128" t="s">
        <v>78</v>
      </c>
      <c r="E154" s="193">
        <f>E146</f>
        <v>0.60000000000000009</v>
      </c>
      <c r="F154" s="128" t="s">
        <v>78</v>
      </c>
      <c r="G154" s="193">
        <f>I146</f>
        <v>4</v>
      </c>
      <c r="H154" s="128" t="s">
        <v>95</v>
      </c>
      <c r="I154" s="193">
        <f>C154*E154*G154</f>
        <v>1.4400000000000004</v>
      </c>
      <c r="J154" s="128" t="s">
        <v>42</v>
      </c>
      <c r="K154" s="193"/>
      <c r="O154" s="339"/>
    </row>
    <row r="155" spans="1:16" ht="14.25" customHeight="1">
      <c r="A155" s="190"/>
      <c r="C155" s="193"/>
      <c r="E155" s="193"/>
      <c r="G155" s="193"/>
      <c r="I155" s="193"/>
      <c r="K155" s="193"/>
      <c r="O155" s="339"/>
    </row>
    <row r="156" spans="1:16" ht="14.25" customHeight="1">
      <c r="A156" s="190"/>
      <c r="B156" s="191" t="s">
        <v>92</v>
      </c>
      <c r="C156" s="192">
        <f>SUM(I153:I154)</f>
        <v>9.4400000000000013</v>
      </c>
      <c r="D156" s="191" t="s">
        <v>42</v>
      </c>
      <c r="E156" s="193"/>
      <c r="G156" s="193"/>
      <c r="I156" s="193"/>
      <c r="K156" s="193"/>
      <c r="O156" s="339"/>
    </row>
    <row r="157" spans="1:16" ht="15" customHeight="1">
      <c r="A157" s="190"/>
      <c r="B157" s="191"/>
      <c r="C157" s="192"/>
      <c r="D157" s="191"/>
      <c r="E157" s="193"/>
      <c r="G157" s="193"/>
      <c r="I157" s="193"/>
      <c r="P157" s="350"/>
    </row>
    <row r="158" spans="1:16" ht="14.25" customHeight="1">
      <c r="A158" s="245" t="s">
        <v>1271</v>
      </c>
      <c r="B158" s="553" t="s">
        <v>108</v>
      </c>
      <c r="C158" s="550"/>
      <c r="D158" s="550"/>
      <c r="E158" s="550"/>
      <c r="F158" s="550"/>
      <c r="G158" s="550"/>
      <c r="H158" s="550"/>
      <c r="I158" s="550"/>
      <c r="J158" s="550"/>
      <c r="K158" s="550"/>
      <c r="L158" s="550"/>
      <c r="M158" s="550"/>
      <c r="N158" s="550"/>
      <c r="O158" s="346">
        <v>93382</v>
      </c>
      <c r="P158" s="339"/>
    </row>
    <row r="159" spans="1:16" ht="14.25" customHeight="1">
      <c r="A159" s="190"/>
      <c r="C159" s="193"/>
      <c r="E159" s="193"/>
      <c r="G159" s="193"/>
      <c r="P159" s="339"/>
    </row>
    <row r="160" spans="1:16" ht="14.25" customHeight="1">
      <c r="A160" s="190"/>
      <c r="B160" s="575" t="s">
        <v>109</v>
      </c>
      <c r="C160" s="575"/>
      <c r="D160" s="575"/>
      <c r="E160" s="575"/>
      <c r="F160" s="575"/>
      <c r="G160" s="575"/>
      <c r="H160" s="575"/>
      <c r="I160" s="575"/>
      <c r="J160" s="575"/>
      <c r="K160" s="575"/>
      <c r="L160" s="575"/>
      <c r="M160" s="575"/>
      <c r="N160" s="575"/>
      <c r="P160" s="339"/>
    </row>
    <row r="161" spans="1:16" ht="14.25" customHeight="1">
      <c r="A161" s="190"/>
      <c r="C161" s="193"/>
      <c r="E161" s="193"/>
      <c r="G161" s="193"/>
      <c r="P161" s="339"/>
    </row>
    <row r="162" spans="1:16" ht="14.25" customHeight="1">
      <c r="A162" s="190"/>
      <c r="C162" s="193" t="s">
        <v>91</v>
      </c>
      <c r="E162" s="193"/>
      <c r="G162" s="193"/>
      <c r="P162" s="339"/>
    </row>
    <row r="163" spans="1:16" ht="14.25" customHeight="1">
      <c r="A163" s="190"/>
      <c r="B163" s="128" t="s">
        <v>110</v>
      </c>
      <c r="C163" s="193">
        <f>C148</f>
        <v>3.448</v>
      </c>
      <c r="D163" s="128" t="s">
        <v>44</v>
      </c>
      <c r="E163" s="193"/>
      <c r="G163" s="193"/>
      <c r="P163" s="339"/>
    </row>
    <row r="164" spans="1:16" ht="14.25" customHeight="1">
      <c r="A164" s="190"/>
      <c r="C164" s="193"/>
      <c r="E164" s="193"/>
      <c r="G164" s="193"/>
      <c r="J164" s="294"/>
      <c r="P164" s="339"/>
    </row>
    <row r="165" spans="1:16" ht="14.25" customHeight="1">
      <c r="A165" s="190"/>
      <c r="B165" s="128" t="s">
        <v>111</v>
      </c>
      <c r="C165" s="193"/>
      <c r="E165" s="193"/>
      <c r="G165" s="193"/>
      <c r="P165" s="339"/>
    </row>
    <row r="166" spans="1:16" ht="14.25" customHeight="1">
      <c r="A166" s="190"/>
      <c r="C166" s="193"/>
      <c r="E166" s="193"/>
      <c r="G166" s="193"/>
    </row>
    <row r="167" spans="1:16" ht="14.25" customHeight="1">
      <c r="A167" s="190"/>
      <c r="C167" s="193" t="s">
        <v>75</v>
      </c>
      <c r="E167" s="193" t="s">
        <v>86</v>
      </c>
      <c r="G167" s="128" t="s">
        <v>76</v>
      </c>
      <c r="I167" s="128" t="s">
        <v>87</v>
      </c>
      <c r="K167" s="193" t="s">
        <v>91</v>
      </c>
      <c r="O167" s="339"/>
    </row>
    <row r="168" spans="1:16" ht="14.25">
      <c r="A168" s="307" t="s">
        <v>98</v>
      </c>
      <c r="B168" s="128" t="s">
        <v>918</v>
      </c>
      <c r="C168" s="193">
        <f>C145-0.2</f>
        <v>0.8</v>
      </c>
      <c r="D168" s="128" t="s">
        <v>78</v>
      </c>
      <c r="E168" s="193">
        <f>E145-0.2</f>
        <v>0.8</v>
      </c>
      <c r="F168" s="128" t="s">
        <v>78</v>
      </c>
      <c r="G168" s="193">
        <f>G145</f>
        <v>0.35</v>
      </c>
      <c r="H168" s="128" t="s">
        <v>78</v>
      </c>
      <c r="I168" s="193">
        <f>I145</f>
        <v>8</v>
      </c>
      <c r="J168" s="128" t="s">
        <v>95</v>
      </c>
      <c r="K168" s="193">
        <f>C168*E168*G168*I168</f>
        <v>1.7920000000000003</v>
      </c>
      <c r="L168" s="128" t="s">
        <v>44</v>
      </c>
      <c r="O168" s="339"/>
    </row>
    <row r="169" spans="1:16" ht="14.25" customHeight="1">
      <c r="A169" s="307"/>
      <c r="B169" s="128" t="s">
        <v>384</v>
      </c>
      <c r="C169" s="193">
        <f>C146-0.2</f>
        <v>0.40000000000000008</v>
      </c>
      <c r="D169" s="128" t="s">
        <v>78</v>
      </c>
      <c r="E169" s="193">
        <f>E146-0.2</f>
        <v>0.40000000000000008</v>
      </c>
      <c r="F169" s="128" t="s">
        <v>78</v>
      </c>
      <c r="G169" s="193">
        <f>G146</f>
        <v>0.45</v>
      </c>
      <c r="H169" s="128" t="s">
        <v>78</v>
      </c>
      <c r="I169" s="193">
        <f>I146</f>
        <v>4</v>
      </c>
      <c r="J169" s="128" t="s">
        <v>95</v>
      </c>
      <c r="K169" s="193">
        <f>C169*E169*G169*I169</f>
        <v>0.28800000000000009</v>
      </c>
      <c r="L169" s="128" t="s">
        <v>44</v>
      </c>
      <c r="O169" s="339"/>
    </row>
    <row r="170" spans="1:16" ht="14.25" customHeight="1">
      <c r="A170" s="190"/>
      <c r="C170" s="193"/>
      <c r="E170" s="193"/>
      <c r="G170" s="193"/>
      <c r="I170" s="193"/>
      <c r="K170" s="193"/>
      <c r="O170" s="339"/>
    </row>
    <row r="171" spans="1:16" ht="14.25" customHeight="1">
      <c r="A171" s="190"/>
      <c r="B171" s="128" t="s">
        <v>221</v>
      </c>
      <c r="C171" s="193">
        <f>SUM(K168:K169)</f>
        <v>2.0800000000000005</v>
      </c>
      <c r="D171" s="128" t="s">
        <v>44</v>
      </c>
      <c r="E171" s="193"/>
      <c r="G171" s="193"/>
      <c r="I171" s="193"/>
      <c r="K171" s="193"/>
      <c r="O171" s="339"/>
    </row>
    <row r="172" spans="1:16" ht="14.25" customHeight="1">
      <c r="A172" s="190"/>
      <c r="C172" s="193"/>
      <c r="E172" s="193"/>
      <c r="G172" s="193"/>
      <c r="I172" s="193"/>
      <c r="K172" s="193"/>
      <c r="O172" s="339"/>
      <c r="P172" s="339"/>
    </row>
    <row r="173" spans="1:16" ht="14.25" customHeight="1">
      <c r="A173" s="190"/>
      <c r="B173" s="190"/>
      <c r="C173" s="307" t="s">
        <v>256</v>
      </c>
      <c r="D173" s="190"/>
      <c r="E173" s="190"/>
      <c r="F173" s="307" t="s">
        <v>257</v>
      </c>
      <c r="G173" s="190"/>
      <c r="H173" s="307" t="s">
        <v>91</v>
      </c>
      <c r="I173" s="190"/>
      <c r="J173" s="190"/>
      <c r="K173" s="190"/>
      <c r="L173" s="190"/>
      <c r="P173" s="339"/>
    </row>
    <row r="174" spans="1:16" ht="14.25" customHeight="1">
      <c r="A174" s="190"/>
      <c r="B174" s="307" t="s">
        <v>258</v>
      </c>
      <c r="C174" s="193">
        <f>C163</f>
        <v>3.448</v>
      </c>
      <c r="D174" s="307" t="s">
        <v>44</v>
      </c>
      <c r="E174" s="308" t="s">
        <v>259</v>
      </c>
      <c r="F174" s="193">
        <f>C171</f>
        <v>2.0800000000000005</v>
      </c>
      <c r="G174" s="307" t="s">
        <v>94</v>
      </c>
      <c r="H174" s="193">
        <f>C174-F174</f>
        <v>1.3679999999999994</v>
      </c>
      <c r="I174" s="307" t="s">
        <v>44</v>
      </c>
      <c r="J174" s="190"/>
      <c r="K174" s="190"/>
      <c r="L174" s="190"/>
      <c r="P174" s="339"/>
    </row>
    <row r="175" spans="1:16" ht="14.25" customHeight="1">
      <c r="A175" s="190"/>
      <c r="B175" s="190"/>
      <c r="C175" s="190"/>
      <c r="D175" s="190"/>
      <c r="E175" s="190"/>
      <c r="F175" s="190"/>
      <c r="G175" s="190"/>
      <c r="H175" s="190"/>
      <c r="I175" s="190"/>
      <c r="J175" s="190"/>
      <c r="K175" s="190"/>
      <c r="L175" s="190"/>
      <c r="P175" s="339"/>
    </row>
    <row r="176" spans="1:16" ht="14.25" customHeight="1">
      <c r="A176" s="190"/>
      <c r="B176" s="191" t="s">
        <v>80</v>
      </c>
      <c r="C176" s="192">
        <f>H174</f>
        <v>1.3679999999999994</v>
      </c>
      <c r="D176" s="191" t="s">
        <v>44</v>
      </c>
      <c r="E176" s="193"/>
      <c r="G176" s="192"/>
      <c r="H176" s="191"/>
      <c r="J176" s="197"/>
      <c r="P176" s="339"/>
    </row>
    <row r="177" spans="1:33" ht="15" customHeight="1">
      <c r="A177" s="190"/>
      <c r="C177" s="193"/>
      <c r="E177" s="193"/>
      <c r="G177" s="193"/>
    </row>
    <row r="178" spans="1:33" ht="14.25" customHeight="1">
      <c r="A178" s="188" t="s">
        <v>106</v>
      </c>
      <c r="B178" s="551" t="s">
        <v>112</v>
      </c>
      <c r="C178" s="552"/>
      <c r="D178" s="552"/>
      <c r="E178" s="552"/>
      <c r="F178" s="552"/>
      <c r="G178" s="552"/>
      <c r="H178" s="552"/>
      <c r="I178" s="552"/>
      <c r="J178" s="552"/>
      <c r="K178" s="552"/>
      <c r="L178" s="552"/>
      <c r="M178" s="552"/>
      <c r="N178" s="552"/>
      <c r="O178" s="346"/>
      <c r="P178" s="347"/>
      <c r="Q178" s="129"/>
      <c r="R178" s="129"/>
      <c r="S178" s="129"/>
      <c r="T178" s="129"/>
      <c r="U178" s="129"/>
      <c r="V178" s="129"/>
      <c r="W178" s="129"/>
      <c r="X178" s="129"/>
      <c r="Y178" s="129"/>
      <c r="Z178" s="129"/>
      <c r="AA178" s="129"/>
      <c r="AB178" s="129"/>
      <c r="AC178" s="129"/>
      <c r="AD178" s="129"/>
      <c r="AE178" s="129"/>
      <c r="AF178" s="129"/>
      <c r="AG178" s="129"/>
    </row>
    <row r="179" spans="1:33" ht="14.25" customHeight="1">
      <c r="A179" s="188" t="s">
        <v>314</v>
      </c>
      <c r="B179" s="551" t="s">
        <v>46</v>
      </c>
      <c r="C179" s="552"/>
      <c r="D179" s="552"/>
      <c r="E179" s="552"/>
      <c r="F179" s="552"/>
      <c r="G179" s="552"/>
      <c r="H179" s="552"/>
      <c r="I179" s="552"/>
      <c r="J179" s="552"/>
      <c r="K179" s="552"/>
      <c r="L179" s="552"/>
      <c r="M179" s="552"/>
      <c r="N179" s="552"/>
      <c r="O179" s="346"/>
      <c r="P179" s="347"/>
    </row>
    <row r="180" spans="1:33" ht="14.25" customHeight="1">
      <c r="A180" s="190"/>
      <c r="C180" s="193"/>
      <c r="E180" s="193"/>
      <c r="G180" s="193"/>
      <c r="O180" s="339"/>
    </row>
    <row r="181" spans="1:33" ht="15" customHeight="1">
      <c r="A181" s="245" t="s">
        <v>315</v>
      </c>
      <c r="B181" s="544" t="s">
        <v>506</v>
      </c>
      <c r="C181" s="544"/>
      <c r="D181" s="544"/>
      <c r="E181" s="544"/>
      <c r="F181" s="544"/>
      <c r="G181" s="544"/>
      <c r="H181" s="544"/>
      <c r="I181" s="544"/>
      <c r="J181" s="544"/>
      <c r="K181" s="544"/>
      <c r="L181" s="544"/>
      <c r="M181" s="544"/>
      <c r="N181" s="544"/>
      <c r="O181" s="346">
        <v>97086</v>
      </c>
      <c r="P181" s="350"/>
    </row>
    <row r="182" spans="1:33" ht="15" customHeight="1">
      <c r="A182" s="190"/>
      <c r="C182" s="193"/>
      <c r="E182" s="193"/>
      <c r="G182" s="193"/>
      <c r="O182" s="339"/>
      <c r="Q182" s="353"/>
    </row>
    <row r="183" spans="1:33" ht="14.25" customHeight="1">
      <c r="A183" s="190"/>
      <c r="C183" s="128" t="s">
        <v>77</v>
      </c>
      <c r="E183" s="187"/>
      <c r="O183" s="339"/>
    </row>
    <row r="184" spans="1:33" ht="14.25" customHeight="1">
      <c r="A184" s="190"/>
      <c r="B184" s="128" t="s">
        <v>1325</v>
      </c>
      <c r="C184" s="193">
        <v>18.3</v>
      </c>
      <c r="D184" s="128" t="s">
        <v>42</v>
      </c>
      <c r="E184" s="193"/>
      <c r="O184" s="339"/>
    </row>
    <row r="185" spans="1:33" ht="14.25" customHeight="1">
      <c r="A185" s="190"/>
      <c r="B185" s="128" t="s">
        <v>230</v>
      </c>
      <c r="C185" s="193">
        <v>5.8</v>
      </c>
      <c r="D185" s="128" t="s">
        <v>42</v>
      </c>
      <c r="E185" s="193"/>
      <c r="O185" s="339"/>
    </row>
    <row r="186" spans="1:33" ht="14.25" customHeight="1">
      <c r="A186" s="190"/>
      <c r="B186" s="128" t="s">
        <v>1267</v>
      </c>
      <c r="C186" s="193">
        <f>0.8</f>
        <v>0.8</v>
      </c>
      <c r="D186" s="128" t="s">
        <v>42</v>
      </c>
      <c r="E186" s="193"/>
      <c r="O186" s="339"/>
    </row>
    <row r="187" spans="1:33" ht="14.25" customHeight="1">
      <c r="A187" s="190"/>
      <c r="B187" s="128" t="s">
        <v>502</v>
      </c>
      <c r="C187" s="193">
        <v>1</v>
      </c>
      <c r="D187" s="128" t="s">
        <v>42</v>
      </c>
      <c r="E187" s="193"/>
      <c r="O187" s="339"/>
    </row>
    <row r="188" spans="1:33" ht="14.25" customHeight="1">
      <c r="A188" s="190"/>
      <c r="C188" s="193"/>
      <c r="E188" s="193"/>
      <c r="G188" s="193"/>
      <c r="O188" s="339"/>
    </row>
    <row r="189" spans="1:33" ht="14.25" customHeight="1">
      <c r="A189" s="190"/>
      <c r="B189" s="191" t="s">
        <v>92</v>
      </c>
      <c r="C189" s="192">
        <f>SUM(C184:C187)</f>
        <v>25.900000000000002</v>
      </c>
      <c r="D189" s="191" t="s">
        <v>42</v>
      </c>
      <c r="E189" s="193"/>
      <c r="G189" s="193"/>
      <c r="O189" s="339"/>
    </row>
    <row r="190" spans="1:33" ht="15" customHeight="1">
      <c r="A190" s="190"/>
      <c r="C190" s="193"/>
      <c r="E190" s="193"/>
      <c r="G190" s="193"/>
      <c r="O190" s="339"/>
      <c r="Q190" s="353"/>
    </row>
    <row r="191" spans="1:33" ht="15" customHeight="1">
      <c r="A191" s="245" t="s">
        <v>316</v>
      </c>
      <c r="B191" s="559" t="s">
        <v>113</v>
      </c>
      <c r="C191" s="550"/>
      <c r="D191" s="550"/>
      <c r="E191" s="550"/>
      <c r="F191" s="550"/>
      <c r="G191" s="550"/>
      <c r="H191" s="550"/>
      <c r="I191" s="550"/>
      <c r="J191" s="550"/>
      <c r="K191" s="550"/>
      <c r="L191" s="550"/>
      <c r="M191" s="550"/>
      <c r="N191" s="550"/>
      <c r="O191" s="346">
        <v>97096</v>
      </c>
      <c r="P191" s="350"/>
    </row>
    <row r="192" spans="1:33" ht="15" customHeight="1">
      <c r="A192" s="190"/>
      <c r="C192" s="193"/>
      <c r="E192" s="193"/>
      <c r="G192" s="193"/>
      <c r="O192" s="339"/>
      <c r="Q192" s="353"/>
    </row>
    <row r="193" spans="1:17" ht="14.25" customHeight="1">
      <c r="A193" s="190"/>
      <c r="C193" s="193" t="s">
        <v>91</v>
      </c>
      <c r="E193" s="187"/>
      <c r="G193" s="187"/>
      <c r="O193" s="339"/>
    </row>
    <row r="194" spans="1:17" ht="14.25" customHeight="1">
      <c r="A194" s="190"/>
      <c r="B194" s="128" t="s">
        <v>1325</v>
      </c>
      <c r="C194" s="197">
        <v>114.8</v>
      </c>
      <c r="D194" s="128" t="s">
        <v>44</v>
      </c>
      <c r="E194" s="193"/>
      <c r="G194" s="193"/>
      <c r="O194" s="339"/>
    </row>
    <row r="195" spans="1:17" ht="14.25" customHeight="1">
      <c r="A195" s="190"/>
      <c r="B195" s="128" t="s">
        <v>230</v>
      </c>
      <c r="C195" s="197">
        <v>4.21</v>
      </c>
      <c r="D195" s="128" t="s">
        <v>44</v>
      </c>
      <c r="E195" s="193"/>
      <c r="G195" s="193"/>
      <c r="O195" s="339"/>
    </row>
    <row r="196" spans="1:17" ht="14.25" customHeight="1">
      <c r="A196" s="190"/>
      <c r="B196" s="128" t="s">
        <v>299</v>
      </c>
      <c r="C196" s="197">
        <f>0.3</f>
        <v>0.3</v>
      </c>
      <c r="D196" s="128" t="s">
        <v>44</v>
      </c>
      <c r="E196" s="193"/>
      <c r="G196" s="193"/>
      <c r="O196" s="339"/>
    </row>
    <row r="197" spans="1:17" ht="14.25" customHeight="1">
      <c r="A197" s="190"/>
      <c r="B197" s="128" t="s">
        <v>502</v>
      </c>
      <c r="C197" s="197">
        <v>0.38</v>
      </c>
      <c r="D197" s="128" t="s">
        <v>44</v>
      </c>
      <c r="E197" s="193"/>
      <c r="G197" s="193"/>
      <c r="O197" s="339"/>
    </row>
    <row r="198" spans="1:17" ht="14.25" customHeight="1">
      <c r="A198" s="190"/>
      <c r="C198" s="193"/>
      <c r="E198" s="193"/>
      <c r="G198" s="193"/>
      <c r="O198" s="339"/>
    </row>
    <row r="199" spans="1:17" ht="14.25" customHeight="1">
      <c r="A199" s="190"/>
      <c r="B199" s="191" t="s">
        <v>92</v>
      </c>
      <c r="C199" s="192">
        <f>SUM(C194:C197)</f>
        <v>119.68999999999998</v>
      </c>
      <c r="D199" s="191" t="s">
        <v>44</v>
      </c>
      <c r="E199" s="193"/>
      <c r="G199" s="193"/>
      <c r="O199" s="339"/>
    </row>
    <row r="200" spans="1:17" ht="15" customHeight="1">
      <c r="A200" s="190"/>
      <c r="C200" s="193"/>
      <c r="E200" s="193"/>
      <c r="G200" s="193"/>
      <c r="O200" s="339"/>
      <c r="Q200" s="353"/>
    </row>
    <row r="201" spans="1:17" ht="15" customHeight="1">
      <c r="A201" s="245" t="s">
        <v>318</v>
      </c>
      <c r="B201" s="559" t="s">
        <v>317</v>
      </c>
      <c r="C201" s="550"/>
      <c r="D201" s="550"/>
      <c r="E201" s="550"/>
      <c r="F201" s="550"/>
      <c r="G201" s="550"/>
      <c r="H201" s="550"/>
      <c r="I201" s="550"/>
      <c r="J201" s="550"/>
      <c r="K201" s="550"/>
      <c r="L201" s="550"/>
      <c r="M201" s="550"/>
      <c r="N201" s="550"/>
      <c r="O201" s="346">
        <v>96624</v>
      </c>
      <c r="P201" s="350"/>
    </row>
    <row r="202" spans="1:17" ht="15" customHeight="1">
      <c r="A202" s="190"/>
      <c r="C202" s="193"/>
      <c r="E202" s="193"/>
      <c r="G202" s="193"/>
      <c r="O202" s="339"/>
    </row>
    <row r="203" spans="1:17" ht="15" customHeight="1">
      <c r="A203" s="190"/>
      <c r="B203" s="575" t="s">
        <v>234</v>
      </c>
      <c r="C203" s="575"/>
      <c r="D203" s="575"/>
      <c r="E203" s="575"/>
      <c r="F203" s="575"/>
      <c r="G203" s="575"/>
      <c r="H203" s="575"/>
      <c r="I203" s="575"/>
      <c r="J203" s="575"/>
      <c r="K203" s="575"/>
      <c r="L203" s="575"/>
      <c r="M203" s="575"/>
      <c r="N203" s="575"/>
      <c r="O203" s="339"/>
    </row>
    <row r="204" spans="1:17" ht="15" customHeight="1">
      <c r="A204" s="190"/>
      <c r="C204" s="193"/>
      <c r="E204" s="193"/>
      <c r="G204" s="193"/>
      <c r="O204" s="339"/>
      <c r="Q204" s="353"/>
    </row>
    <row r="205" spans="1:17" ht="14.25" customHeight="1">
      <c r="A205" s="190"/>
      <c r="C205" s="193" t="s">
        <v>77</v>
      </c>
      <c r="E205" s="187" t="s">
        <v>76</v>
      </c>
      <c r="G205" s="187" t="s">
        <v>91</v>
      </c>
      <c r="O205" s="339"/>
    </row>
    <row r="206" spans="1:17" ht="14.25" customHeight="1">
      <c r="A206" s="190"/>
      <c r="B206" s="128" t="s">
        <v>1325</v>
      </c>
      <c r="C206" s="197">
        <f>C133</f>
        <v>957</v>
      </c>
      <c r="D206" s="128" t="s">
        <v>103</v>
      </c>
      <c r="E206" s="193">
        <v>0.1</v>
      </c>
      <c r="F206" s="128" t="s">
        <v>79</v>
      </c>
      <c r="G206" s="193">
        <f>C206*E206</f>
        <v>95.7</v>
      </c>
      <c r="H206" s="128" t="s">
        <v>44</v>
      </c>
      <c r="O206" s="339"/>
    </row>
    <row r="207" spans="1:17" ht="14.25" customHeight="1">
      <c r="A207" s="190"/>
      <c r="B207" s="128" t="s">
        <v>1267</v>
      </c>
      <c r="C207" s="197">
        <f>C135</f>
        <v>2</v>
      </c>
      <c r="D207" s="128" t="s">
        <v>103</v>
      </c>
      <c r="E207" s="193">
        <v>0.1</v>
      </c>
      <c r="F207" s="128" t="s">
        <v>79</v>
      </c>
      <c r="G207" s="193">
        <f>C207*E207</f>
        <v>0.2</v>
      </c>
      <c r="H207" s="128" t="s">
        <v>44</v>
      </c>
      <c r="O207" s="339"/>
    </row>
    <row r="208" spans="1:17" ht="14.25" customHeight="1">
      <c r="A208" s="190"/>
      <c r="B208" s="128" t="s">
        <v>502</v>
      </c>
      <c r="C208" s="197">
        <f>C136</f>
        <v>3</v>
      </c>
      <c r="D208" s="128" t="s">
        <v>103</v>
      </c>
      <c r="E208" s="193">
        <v>0.1</v>
      </c>
      <c r="F208" s="128" t="s">
        <v>79</v>
      </c>
      <c r="G208" s="193">
        <f>C208*E208</f>
        <v>0.30000000000000004</v>
      </c>
      <c r="H208" s="128" t="s">
        <v>44</v>
      </c>
      <c r="O208" s="339"/>
    </row>
    <row r="209" spans="1:17" ht="14.25" customHeight="1">
      <c r="A209" s="190"/>
      <c r="C209" s="193"/>
      <c r="E209" s="193"/>
      <c r="G209" s="193"/>
      <c r="O209" s="339"/>
    </row>
    <row r="210" spans="1:17" ht="14.25" customHeight="1">
      <c r="A210" s="290"/>
      <c r="B210" s="191" t="s">
        <v>92</v>
      </c>
      <c r="C210" s="192">
        <f>SUM(G206:G208)</f>
        <v>96.2</v>
      </c>
      <c r="D210" s="191" t="s">
        <v>44</v>
      </c>
      <c r="E210" s="192"/>
      <c r="F210" s="191"/>
      <c r="G210" s="192"/>
      <c r="H210" s="191"/>
      <c r="I210" s="191"/>
      <c r="J210" s="191"/>
      <c r="K210" s="191"/>
      <c r="L210" s="191"/>
      <c r="M210" s="191"/>
      <c r="N210" s="191"/>
      <c r="O210" s="351"/>
      <c r="P210" s="273"/>
    </row>
    <row r="211" spans="1:17" ht="14.25" customHeight="1">
      <c r="A211" s="190"/>
      <c r="C211" s="193"/>
      <c r="E211" s="193"/>
      <c r="G211" s="193"/>
      <c r="O211" s="339"/>
    </row>
    <row r="212" spans="1:17">
      <c r="A212" s="245" t="s">
        <v>308</v>
      </c>
      <c r="B212" s="559" t="s">
        <v>319</v>
      </c>
      <c r="C212" s="550"/>
      <c r="D212" s="550"/>
      <c r="E212" s="550"/>
      <c r="F212" s="550"/>
      <c r="G212" s="550"/>
      <c r="H212" s="550"/>
      <c r="I212" s="550"/>
      <c r="J212" s="550"/>
      <c r="K212" s="550"/>
      <c r="L212" s="550"/>
      <c r="M212" s="550"/>
      <c r="N212" s="550"/>
      <c r="O212" s="346">
        <v>95241</v>
      </c>
      <c r="P212" s="350"/>
    </row>
    <row r="213" spans="1:17" ht="15" customHeight="1">
      <c r="A213" s="190"/>
      <c r="C213" s="193"/>
      <c r="E213" s="193"/>
      <c r="G213" s="193"/>
      <c r="O213" s="339"/>
      <c r="Q213" s="353"/>
    </row>
    <row r="214" spans="1:17" ht="14.25" customHeight="1">
      <c r="A214" s="190"/>
      <c r="C214" s="193" t="s">
        <v>77</v>
      </c>
      <c r="E214" s="187"/>
      <c r="G214" s="187"/>
      <c r="O214" s="339"/>
    </row>
    <row r="215" spans="1:17" ht="14.25" customHeight="1">
      <c r="A215" s="190"/>
      <c r="B215" s="128" t="s">
        <v>230</v>
      </c>
      <c r="C215" s="197">
        <v>9</v>
      </c>
      <c r="D215" s="128" t="s">
        <v>117</v>
      </c>
      <c r="E215" s="193"/>
      <c r="G215" s="193"/>
      <c r="O215" s="339"/>
    </row>
    <row r="216" spans="1:17" ht="14.25" customHeight="1">
      <c r="A216" s="190"/>
      <c r="C216" s="197"/>
      <c r="E216" s="193"/>
      <c r="G216" s="193"/>
      <c r="O216" s="339"/>
    </row>
    <row r="217" spans="1:17" ht="14.25" customHeight="1">
      <c r="A217" s="190"/>
      <c r="B217" s="191" t="s">
        <v>80</v>
      </c>
      <c r="C217" s="274">
        <f>C215</f>
        <v>9</v>
      </c>
      <c r="D217" s="191" t="s">
        <v>42</v>
      </c>
      <c r="E217" s="193"/>
      <c r="F217" s="192"/>
      <c r="I217" s="193"/>
      <c r="O217" s="339"/>
    </row>
    <row r="218" spans="1:17" ht="14.25">
      <c r="A218" s="190"/>
      <c r="C218" s="193"/>
      <c r="E218" s="193"/>
      <c r="G218" s="193"/>
      <c r="O218" s="339"/>
    </row>
    <row r="219" spans="1:17" ht="31.5" customHeight="1">
      <c r="A219" s="245" t="s">
        <v>320</v>
      </c>
      <c r="B219" s="559" t="s">
        <v>503</v>
      </c>
      <c r="C219" s="550"/>
      <c r="D219" s="550"/>
      <c r="E219" s="550"/>
      <c r="F219" s="550"/>
      <c r="G219" s="550"/>
      <c r="H219" s="550"/>
      <c r="I219" s="550"/>
      <c r="J219" s="550"/>
      <c r="K219" s="550"/>
      <c r="L219" s="550"/>
      <c r="M219" s="550"/>
      <c r="N219" s="550"/>
      <c r="O219" s="346">
        <v>100896</v>
      </c>
      <c r="P219" s="350"/>
    </row>
    <row r="220" spans="1:17" s="175" customFormat="1" ht="15" customHeight="1">
      <c r="A220" s="190"/>
      <c r="B220" s="128"/>
      <c r="C220" s="193"/>
      <c r="D220" s="128"/>
      <c r="E220" s="193"/>
      <c r="F220" s="128"/>
      <c r="G220" s="193"/>
      <c r="H220" s="128"/>
      <c r="I220" s="128"/>
      <c r="J220" s="128"/>
      <c r="K220" s="128"/>
      <c r="L220" s="128"/>
      <c r="M220" s="128"/>
      <c r="N220" s="128"/>
      <c r="O220" s="339"/>
      <c r="P220" s="189"/>
    </row>
    <row r="221" spans="1:17" s="309" customFormat="1" ht="15" customHeight="1">
      <c r="A221" s="190"/>
      <c r="B221" s="128"/>
      <c r="C221" s="187" t="s">
        <v>75</v>
      </c>
      <c r="D221" s="128"/>
      <c r="E221" s="128" t="s">
        <v>87</v>
      </c>
      <c r="F221" s="128"/>
      <c r="G221" s="128" t="s">
        <v>75</v>
      </c>
      <c r="H221" s="128"/>
      <c r="I221" s="128"/>
      <c r="J221" s="128"/>
      <c r="K221" s="128"/>
      <c r="L221" s="128"/>
      <c r="M221" s="128"/>
      <c r="N221" s="128"/>
      <c r="O221" s="339"/>
      <c r="P221" s="189"/>
    </row>
    <row r="222" spans="1:17" s="175" customFormat="1" ht="15" customHeight="1">
      <c r="A222" s="190"/>
      <c r="B222" s="128" t="s">
        <v>502</v>
      </c>
      <c r="C222" s="193">
        <v>2.6</v>
      </c>
      <c r="D222" s="128" t="s">
        <v>78</v>
      </c>
      <c r="E222" s="193">
        <v>3</v>
      </c>
      <c r="F222" s="128" t="s">
        <v>95</v>
      </c>
      <c r="G222" s="193">
        <f>C222*E222</f>
        <v>7.8000000000000007</v>
      </c>
      <c r="H222" s="128" t="s">
        <v>50</v>
      </c>
      <c r="I222" s="128"/>
      <c r="J222" s="128"/>
      <c r="K222" s="128"/>
      <c r="L222" s="128"/>
      <c r="M222" s="128"/>
      <c r="N222" s="128"/>
      <c r="O222" s="339"/>
      <c r="P222" s="189"/>
    </row>
    <row r="223" spans="1:17" s="310" customFormat="1" ht="15" customHeight="1">
      <c r="A223" s="290"/>
      <c r="B223" s="128"/>
      <c r="C223" s="193"/>
      <c r="D223" s="128"/>
      <c r="E223" s="193"/>
      <c r="F223" s="128"/>
      <c r="G223" s="193"/>
      <c r="H223" s="128"/>
      <c r="I223" s="191"/>
      <c r="J223" s="191"/>
      <c r="K223" s="191"/>
      <c r="L223" s="191"/>
      <c r="M223" s="191"/>
      <c r="N223" s="191"/>
      <c r="O223" s="351"/>
      <c r="P223" s="273"/>
    </row>
    <row r="224" spans="1:17" s="175" customFormat="1" ht="15" customHeight="1">
      <c r="A224" s="190"/>
      <c r="B224" s="191" t="s">
        <v>92</v>
      </c>
      <c r="C224" s="192">
        <f>SUM(G222:G222)</f>
        <v>7.8000000000000007</v>
      </c>
      <c r="D224" s="191" t="s">
        <v>50</v>
      </c>
      <c r="E224" s="192"/>
      <c r="F224" s="191"/>
      <c r="G224" s="192"/>
      <c r="H224" s="191"/>
      <c r="I224" s="128"/>
      <c r="J224" s="128"/>
      <c r="K224" s="128"/>
      <c r="L224" s="128"/>
      <c r="M224" s="128"/>
      <c r="N224" s="128"/>
      <c r="O224" s="339"/>
      <c r="P224" s="189"/>
    </row>
    <row r="225" spans="1:16" s="175" customFormat="1" ht="15" customHeight="1">
      <c r="A225" s="190"/>
      <c r="B225" s="191"/>
      <c r="C225" s="192"/>
      <c r="D225" s="191"/>
      <c r="E225" s="192"/>
      <c r="F225" s="191"/>
      <c r="G225" s="192"/>
      <c r="H225" s="191"/>
      <c r="I225" s="128"/>
      <c r="J225" s="128"/>
      <c r="K225" s="128"/>
      <c r="L225" s="128"/>
      <c r="M225" s="128"/>
      <c r="N225" s="128"/>
      <c r="O225" s="339"/>
      <c r="P225" s="189"/>
    </row>
    <row r="226" spans="1:16" ht="31.5" customHeight="1">
      <c r="A226" s="245" t="s">
        <v>329</v>
      </c>
      <c r="B226" s="559" t="s">
        <v>273</v>
      </c>
      <c r="C226" s="550"/>
      <c r="D226" s="550"/>
      <c r="E226" s="550"/>
      <c r="F226" s="550"/>
      <c r="G226" s="550"/>
      <c r="H226" s="550"/>
      <c r="I226" s="550"/>
      <c r="J226" s="550"/>
      <c r="K226" s="550"/>
      <c r="L226" s="550"/>
      <c r="M226" s="550"/>
      <c r="N226" s="550"/>
      <c r="O226" s="346">
        <v>100897</v>
      </c>
      <c r="P226" s="350"/>
    </row>
    <row r="227" spans="1:16" s="175" customFormat="1" ht="15" customHeight="1">
      <c r="A227" s="190"/>
      <c r="B227" s="128"/>
      <c r="C227" s="193"/>
      <c r="D227" s="128"/>
      <c r="E227" s="193"/>
      <c r="F227" s="128"/>
      <c r="G227" s="193"/>
      <c r="H227" s="128"/>
      <c r="I227" s="128"/>
      <c r="J227" s="128"/>
      <c r="K227" s="128"/>
      <c r="L227" s="128"/>
      <c r="M227" s="128"/>
      <c r="N227" s="128"/>
      <c r="O227" s="339"/>
      <c r="P227" s="189"/>
    </row>
    <row r="228" spans="1:16" s="309" customFormat="1" ht="15" customHeight="1">
      <c r="A228" s="190"/>
      <c r="B228" s="128"/>
      <c r="C228" s="187" t="s">
        <v>75</v>
      </c>
      <c r="D228" s="128"/>
      <c r="E228" s="128" t="s">
        <v>87</v>
      </c>
      <c r="F228" s="128"/>
      <c r="G228" s="128" t="s">
        <v>75</v>
      </c>
      <c r="H228" s="128"/>
      <c r="I228" s="128"/>
      <c r="J228" s="128"/>
      <c r="K228" s="128"/>
      <c r="L228" s="128"/>
      <c r="M228" s="128"/>
      <c r="N228" s="128"/>
      <c r="O228" s="339"/>
      <c r="P228" s="189"/>
    </row>
    <row r="229" spans="1:16" s="175" customFormat="1" ht="15" customHeight="1">
      <c r="A229" s="190"/>
      <c r="B229" s="128" t="s">
        <v>235</v>
      </c>
      <c r="C229" s="193">
        <v>3</v>
      </c>
      <c r="D229" s="128" t="s">
        <v>78</v>
      </c>
      <c r="E229" s="193">
        <v>9</v>
      </c>
      <c r="F229" s="128" t="s">
        <v>95</v>
      </c>
      <c r="G229" s="193">
        <f>C229*E229</f>
        <v>27</v>
      </c>
      <c r="H229" s="128" t="s">
        <v>50</v>
      </c>
      <c r="I229" s="128"/>
      <c r="J229" s="128"/>
      <c r="K229" s="128"/>
      <c r="L229" s="128"/>
      <c r="M229" s="128"/>
      <c r="N229" s="128"/>
      <c r="O229" s="339"/>
      <c r="P229" s="189"/>
    </row>
    <row r="230" spans="1:16" s="175" customFormat="1" ht="15" customHeight="1">
      <c r="A230" s="190"/>
      <c r="B230" s="128"/>
      <c r="C230" s="193"/>
      <c r="D230" s="128"/>
      <c r="E230" s="193"/>
      <c r="F230" s="128"/>
      <c r="G230" s="193"/>
      <c r="H230" s="128"/>
      <c r="I230" s="128"/>
      <c r="J230" s="128"/>
      <c r="K230" s="128"/>
      <c r="L230" s="128"/>
      <c r="M230" s="128"/>
      <c r="N230" s="128"/>
      <c r="O230" s="339"/>
      <c r="P230" s="189"/>
    </row>
    <row r="231" spans="1:16" s="310" customFormat="1" ht="15" customHeight="1">
      <c r="A231" s="290"/>
      <c r="B231" s="191" t="s">
        <v>92</v>
      </c>
      <c r="C231" s="192">
        <f>G229</f>
        <v>27</v>
      </c>
      <c r="D231" s="191" t="s">
        <v>50</v>
      </c>
      <c r="E231" s="192"/>
      <c r="F231" s="191"/>
      <c r="G231" s="192"/>
      <c r="H231" s="191"/>
      <c r="I231" s="191"/>
      <c r="J231" s="191"/>
      <c r="K231" s="191"/>
      <c r="L231" s="191"/>
      <c r="M231" s="191"/>
      <c r="N231" s="191"/>
      <c r="O231" s="351"/>
      <c r="P231" s="273"/>
    </row>
    <row r="232" spans="1:16" s="175" customFormat="1" ht="15" customHeight="1">
      <c r="A232" s="190"/>
      <c r="B232" s="128"/>
      <c r="C232" s="193"/>
      <c r="D232" s="128"/>
      <c r="E232" s="193"/>
      <c r="F232" s="128"/>
      <c r="G232" s="193"/>
      <c r="H232" s="128"/>
      <c r="I232" s="128"/>
      <c r="J232" s="128"/>
      <c r="K232" s="128"/>
      <c r="L232" s="128"/>
      <c r="M232" s="128"/>
      <c r="N232" s="128"/>
      <c r="O232" s="339"/>
      <c r="P232" s="189"/>
    </row>
    <row r="233" spans="1:16">
      <c r="A233" s="245" t="s">
        <v>1328</v>
      </c>
      <c r="B233" s="553" t="s">
        <v>321</v>
      </c>
      <c r="C233" s="550"/>
      <c r="D233" s="550"/>
      <c r="E233" s="550"/>
      <c r="F233" s="550"/>
      <c r="G233" s="550"/>
      <c r="H233" s="550"/>
      <c r="I233" s="550"/>
      <c r="J233" s="550"/>
      <c r="K233" s="550"/>
      <c r="L233" s="550"/>
      <c r="M233" s="550"/>
      <c r="N233" s="550"/>
      <c r="O233" s="295">
        <v>97092</v>
      </c>
      <c r="P233" s="350"/>
    </row>
    <row r="234" spans="1:16" ht="14.25" customHeight="1">
      <c r="A234" s="190"/>
      <c r="C234" s="193"/>
      <c r="E234" s="193"/>
      <c r="G234" s="193"/>
      <c r="O234" s="272"/>
    </row>
    <row r="235" spans="1:16" ht="14.25" customHeight="1">
      <c r="A235" s="190"/>
      <c r="B235" s="191"/>
      <c r="C235" s="193" t="s">
        <v>86</v>
      </c>
      <c r="E235" s="128" t="s">
        <v>75</v>
      </c>
      <c r="G235" s="128" t="s">
        <v>323</v>
      </c>
      <c r="I235" s="187" t="s">
        <v>309</v>
      </c>
      <c r="K235" s="187" t="s">
        <v>101</v>
      </c>
      <c r="O235" s="272"/>
    </row>
    <row r="236" spans="1:16" s="175" customFormat="1" ht="15" customHeight="1">
      <c r="A236" s="190"/>
      <c r="B236" s="128" t="s">
        <v>1272</v>
      </c>
      <c r="C236" s="197">
        <v>2.4500000000000002</v>
      </c>
      <c r="D236" s="128" t="s">
        <v>322</v>
      </c>
      <c r="E236" s="193">
        <v>6</v>
      </c>
      <c r="F236" s="128" t="s">
        <v>78</v>
      </c>
      <c r="G236" s="193">
        <v>2</v>
      </c>
      <c r="H236" s="128" t="s">
        <v>130</v>
      </c>
      <c r="I236" s="128">
        <v>3.11</v>
      </c>
      <c r="J236" s="128" t="s">
        <v>310</v>
      </c>
      <c r="K236" s="197">
        <f>C236*E236*G236*I236*1.1</f>
        <v>100.57740000000001</v>
      </c>
      <c r="L236" s="128" t="s">
        <v>102</v>
      </c>
      <c r="M236" s="128"/>
      <c r="N236" s="128"/>
      <c r="O236" s="272"/>
      <c r="P236" s="189"/>
    </row>
    <row r="237" spans="1:16" s="175" customFormat="1" ht="15" customHeight="1">
      <c r="A237" s="190"/>
      <c r="B237" s="128" t="s">
        <v>502</v>
      </c>
      <c r="C237" s="197">
        <v>2.4500000000000002</v>
      </c>
      <c r="D237" s="128" t="s">
        <v>322</v>
      </c>
      <c r="E237" s="193">
        <v>6</v>
      </c>
      <c r="F237" s="128" t="s">
        <v>78</v>
      </c>
      <c r="G237" s="193">
        <v>1</v>
      </c>
      <c r="H237" s="128" t="s">
        <v>130</v>
      </c>
      <c r="I237" s="128">
        <v>3.11</v>
      </c>
      <c r="J237" s="128" t="s">
        <v>310</v>
      </c>
      <c r="K237" s="197">
        <f>C237*E237*G237*I237*1.1</f>
        <v>50.288700000000006</v>
      </c>
      <c r="L237" s="128" t="s">
        <v>102</v>
      </c>
      <c r="M237" s="128"/>
      <c r="N237" s="128"/>
      <c r="O237" s="272"/>
      <c r="P237" s="189"/>
    </row>
    <row r="238" spans="1:16" s="175" customFormat="1" ht="15" customHeight="1">
      <c r="A238" s="190"/>
      <c r="B238" s="128" t="s">
        <v>1326</v>
      </c>
      <c r="C238" s="197">
        <v>2.4500000000000002</v>
      </c>
      <c r="D238" s="128" t="s">
        <v>322</v>
      </c>
      <c r="E238" s="193">
        <v>6</v>
      </c>
      <c r="F238" s="128" t="s">
        <v>78</v>
      </c>
      <c r="G238" s="193">
        <f>86*2</f>
        <v>172</v>
      </c>
      <c r="H238" s="128" t="s">
        <v>130</v>
      </c>
      <c r="I238" s="128">
        <v>3.11</v>
      </c>
      <c r="J238" s="128" t="s">
        <v>310</v>
      </c>
      <c r="K238" s="197">
        <f>C238*E238*G238*I238*1.1</f>
        <v>8649.6563999999998</v>
      </c>
      <c r="L238" s="128" t="s">
        <v>102</v>
      </c>
      <c r="M238" s="128"/>
      <c r="N238" s="128"/>
      <c r="O238" s="272"/>
      <c r="P238" s="189"/>
    </row>
    <row r="239" spans="1:16" s="310" customFormat="1" ht="15" customHeight="1">
      <c r="A239" s="190"/>
      <c r="B239" s="128"/>
      <c r="C239" s="193"/>
      <c r="D239" s="128"/>
      <c r="E239" s="193"/>
      <c r="F239" s="128"/>
      <c r="G239" s="193"/>
      <c r="H239" s="128"/>
      <c r="I239" s="128"/>
      <c r="J239" s="128"/>
      <c r="K239" s="128"/>
      <c r="L239" s="128"/>
      <c r="M239" s="128"/>
      <c r="N239" s="128"/>
      <c r="O239" s="272"/>
      <c r="P239" s="189"/>
    </row>
    <row r="240" spans="1:16" s="175" customFormat="1" ht="15" customHeight="1">
      <c r="A240" s="190"/>
      <c r="B240" s="191" t="s">
        <v>92</v>
      </c>
      <c r="C240" s="274">
        <f>SUM(K236:K238)</f>
        <v>8800.5224999999991</v>
      </c>
      <c r="D240" s="191" t="s">
        <v>121</v>
      </c>
      <c r="E240" s="192"/>
      <c r="F240" s="191"/>
      <c r="G240" s="192"/>
      <c r="H240" s="191"/>
      <c r="I240" s="191"/>
      <c r="J240" s="191"/>
      <c r="K240" s="191"/>
      <c r="L240" s="294"/>
      <c r="M240" s="191"/>
      <c r="N240" s="191"/>
      <c r="O240" s="356"/>
      <c r="P240" s="273"/>
    </row>
    <row r="241" spans="1:16" ht="14.25">
      <c r="A241" s="190"/>
      <c r="C241" s="193"/>
      <c r="E241" s="193"/>
      <c r="G241" s="193"/>
      <c r="O241" s="272"/>
    </row>
    <row r="242" spans="1:16" s="258" customFormat="1">
      <c r="A242" s="311" t="s">
        <v>1329</v>
      </c>
      <c r="B242" s="544" t="s">
        <v>325</v>
      </c>
      <c r="C242" s="545"/>
      <c r="D242" s="545"/>
      <c r="E242" s="545"/>
      <c r="F242" s="545"/>
      <c r="G242" s="545"/>
      <c r="H242" s="545"/>
      <c r="I242" s="545"/>
      <c r="J242" s="545"/>
      <c r="K242" s="545"/>
      <c r="L242" s="545"/>
      <c r="M242" s="545"/>
      <c r="N242" s="545"/>
      <c r="O242" s="252">
        <v>92768</v>
      </c>
      <c r="P242" s="357"/>
    </row>
    <row r="243" spans="1:16" ht="14.25" customHeight="1">
      <c r="A243" s="190"/>
      <c r="C243" s="193"/>
      <c r="E243" s="193"/>
      <c r="G243" s="193"/>
      <c r="O243" s="339"/>
    </row>
    <row r="244" spans="1:16" ht="14.25" customHeight="1">
      <c r="A244" s="190"/>
      <c r="C244" s="193" t="s">
        <v>101</v>
      </c>
      <c r="O244" s="339"/>
    </row>
    <row r="245" spans="1:16" s="191" customFormat="1" ht="14.25" customHeight="1">
      <c r="A245" s="190"/>
      <c r="B245" s="128" t="s">
        <v>230</v>
      </c>
      <c r="C245" s="193">
        <f>24.03</f>
        <v>24.03</v>
      </c>
      <c r="D245" s="128" t="s">
        <v>102</v>
      </c>
      <c r="E245" s="128"/>
      <c r="F245" s="128"/>
      <c r="G245" s="128"/>
      <c r="H245" s="128"/>
      <c r="I245" s="128"/>
      <c r="J245" s="128"/>
      <c r="K245" s="128"/>
      <c r="L245" s="128"/>
      <c r="M245" s="128"/>
      <c r="N245" s="128"/>
      <c r="O245" s="339"/>
      <c r="P245" s="189"/>
    </row>
    <row r="246" spans="1:16" s="191" customFormat="1" ht="14.25" customHeight="1">
      <c r="A246" s="190"/>
      <c r="B246" s="128" t="s">
        <v>502</v>
      </c>
      <c r="C246" s="193">
        <v>6.98</v>
      </c>
      <c r="D246" s="128" t="s">
        <v>102</v>
      </c>
      <c r="E246" s="128"/>
      <c r="F246" s="128"/>
      <c r="G246" s="128"/>
      <c r="H246" s="128"/>
      <c r="I246" s="128"/>
      <c r="J246" s="128"/>
      <c r="K246" s="128"/>
      <c r="L246" s="128"/>
      <c r="M246" s="128"/>
      <c r="N246" s="128"/>
      <c r="O246" s="339"/>
      <c r="P246" s="189"/>
    </row>
    <row r="247" spans="1:16" ht="14.25" customHeight="1">
      <c r="A247" s="190"/>
      <c r="C247" s="193"/>
      <c r="O247" s="339"/>
    </row>
    <row r="248" spans="1:16" ht="14.25" customHeight="1">
      <c r="A248" s="290"/>
      <c r="B248" s="191" t="s">
        <v>92</v>
      </c>
      <c r="C248" s="274">
        <f>SUM(C245:C246)</f>
        <v>31.01</v>
      </c>
      <c r="D248" s="191" t="s">
        <v>102</v>
      </c>
      <c r="E248" s="191"/>
      <c r="F248" s="191"/>
      <c r="G248" s="191"/>
      <c r="H248" s="191"/>
      <c r="I248" s="191"/>
      <c r="J248" s="191"/>
      <c r="K248" s="191"/>
      <c r="L248" s="191"/>
      <c r="M248" s="191"/>
      <c r="N248" s="191"/>
      <c r="O248" s="339"/>
      <c r="P248" s="273"/>
    </row>
    <row r="249" spans="1:16" ht="15" customHeight="1">
      <c r="A249" s="190"/>
      <c r="C249" s="193"/>
      <c r="E249" s="193"/>
      <c r="O249" s="351"/>
      <c r="P249" s="357"/>
    </row>
    <row r="250" spans="1:16" s="258" customFormat="1">
      <c r="A250" s="311" t="s">
        <v>1330</v>
      </c>
      <c r="B250" s="544" t="s">
        <v>504</v>
      </c>
      <c r="C250" s="545"/>
      <c r="D250" s="545"/>
      <c r="E250" s="545"/>
      <c r="F250" s="545"/>
      <c r="G250" s="545"/>
      <c r="H250" s="545"/>
      <c r="I250" s="545"/>
      <c r="J250" s="545"/>
      <c r="K250" s="545"/>
      <c r="L250" s="545"/>
      <c r="M250" s="545"/>
      <c r="N250" s="545"/>
      <c r="O250" s="252">
        <v>92769</v>
      </c>
      <c r="P250" s="357"/>
    </row>
    <row r="251" spans="1:16" ht="14.25" customHeight="1">
      <c r="A251" s="190"/>
      <c r="C251" s="193"/>
      <c r="E251" s="193"/>
      <c r="G251" s="193"/>
      <c r="O251" s="339"/>
    </row>
    <row r="252" spans="1:16" ht="14.25" customHeight="1">
      <c r="A252" s="190"/>
      <c r="C252" s="193" t="s">
        <v>101</v>
      </c>
      <c r="O252" s="339"/>
    </row>
    <row r="253" spans="1:16" s="191" customFormat="1" ht="14.25" customHeight="1">
      <c r="A253" s="190"/>
      <c r="B253" s="128" t="s">
        <v>502</v>
      </c>
      <c r="C253" s="193">
        <v>7.75</v>
      </c>
      <c r="D253" s="128" t="s">
        <v>102</v>
      </c>
      <c r="E253" s="128"/>
      <c r="F253" s="128"/>
      <c r="G253" s="128"/>
      <c r="H253" s="128"/>
      <c r="I253" s="128"/>
      <c r="J253" s="128"/>
      <c r="K253" s="128"/>
      <c r="L253" s="128"/>
      <c r="M253" s="128"/>
      <c r="N253" s="128"/>
      <c r="O253" s="339"/>
      <c r="P253" s="189"/>
    </row>
    <row r="254" spans="1:16" ht="14.25" customHeight="1">
      <c r="A254" s="190"/>
      <c r="C254" s="193"/>
      <c r="O254" s="339"/>
    </row>
    <row r="255" spans="1:16" ht="14.25" customHeight="1">
      <c r="A255" s="290"/>
      <c r="B255" s="191" t="s">
        <v>92</v>
      </c>
      <c r="C255" s="274">
        <f>SUM(C253:C253)</f>
        <v>7.75</v>
      </c>
      <c r="D255" s="191" t="s">
        <v>102</v>
      </c>
      <c r="E255" s="191"/>
      <c r="F255" s="191"/>
      <c r="G255" s="191"/>
      <c r="H255" s="191"/>
      <c r="I255" s="191"/>
      <c r="J255" s="191"/>
      <c r="K255" s="191"/>
      <c r="L255" s="191"/>
      <c r="M255" s="191"/>
      <c r="N255" s="191"/>
      <c r="O255" s="339"/>
      <c r="P255" s="273"/>
    </row>
    <row r="256" spans="1:16" ht="15" customHeight="1">
      <c r="A256" s="190"/>
      <c r="C256" s="193"/>
      <c r="E256" s="193"/>
      <c r="O256" s="351"/>
      <c r="P256" s="357"/>
    </row>
    <row r="257" spans="1:16" s="258" customFormat="1">
      <c r="A257" s="311" t="s">
        <v>330</v>
      </c>
      <c r="B257" s="544" t="s">
        <v>326</v>
      </c>
      <c r="C257" s="545"/>
      <c r="D257" s="545"/>
      <c r="E257" s="545"/>
      <c r="F257" s="545"/>
      <c r="G257" s="545"/>
      <c r="H257" s="545"/>
      <c r="I257" s="545"/>
      <c r="J257" s="545"/>
      <c r="K257" s="545"/>
      <c r="L257" s="545"/>
      <c r="M257" s="545"/>
      <c r="N257" s="545"/>
      <c r="O257" s="252">
        <v>92771</v>
      </c>
      <c r="P257" s="357"/>
    </row>
    <row r="258" spans="1:16" ht="14.25" customHeight="1">
      <c r="A258" s="190"/>
      <c r="C258" s="193"/>
      <c r="E258" s="193"/>
      <c r="G258" s="193"/>
      <c r="O258" s="339"/>
    </row>
    <row r="259" spans="1:16" ht="14.25" customHeight="1">
      <c r="A259" s="190"/>
      <c r="C259" s="193" t="s">
        <v>101</v>
      </c>
      <c r="O259" s="339"/>
    </row>
    <row r="260" spans="1:16" s="191" customFormat="1" ht="14.25" customHeight="1">
      <c r="A260" s="190"/>
      <c r="B260" s="128" t="s">
        <v>230</v>
      </c>
      <c r="C260" s="193">
        <f>113.95</f>
        <v>113.95</v>
      </c>
      <c r="D260" s="128" t="s">
        <v>102</v>
      </c>
      <c r="E260" s="128"/>
      <c r="F260" s="128"/>
      <c r="G260" s="128"/>
      <c r="H260" s="128"/>
      <c r="I260" s="128"/>
      <c r="J260" s="128"/>
      <c r="K260" s="128"/>
      <c r="L260" s="128"/>
      <c r="M260" s="128"/>
      <c r="N260" s="128"/>
      <c r="O260" s="339"/>
      <c r="P260" s="189"/>
    </row>
    <row r="261" spans="1:16" ht="14.25" customHeight="1">
      <c r="A261" s="190"/>
      <c r="C261" s="193"/>
      <c r="O261" s="339"/>
      <c r="P261" s="273"/>
    </row>
    <row r="262" spans="1:16" ht="15" customHeight="1">
      <c r="A262" s="190"/>
      <c r="B262" s="191" t="s">
        <v>92</v>
      </c>
      <c r="C262" s="274">
        <f>SUM(C260:C260)</f>
        <v>113.95</v>
      </c>
      <c r="D262" s="191" t="s">
        <v>102</v>
      </c>
      <c r="E262" s="191"/>
      <c r="F262" s="191"/>
      <c r="G262" s="191"/>
      <c r="H262" s="191"/>
      <c r="I262" s="191"/>
      <c r="J262" s="191"/>
      <c r="K262" s="191"/>
      <c r="L262" s="191"/>
      <c r="M262" s="191"/>
      <c r="N262" s="191"/>
      <c r="O262" s="351"/>
    </row>
    <row r="263" spans="1:16" ht="14.25" customHeight="1">
      <c r="A263" s="290"/>
      <c r="C263" s="197"/>
      <c r="O263" s="339"/>
      <c r="P263" s="357"/>
    </row>
    <row r="264" spans="1:16" s="258" customFormat="1">
      <c r="A264" s="311" t="s">
        <v>331</v>
      </c>
      <c r="B264" s="544" t="s">
        <v>328</v>
      </c>
      <c r="C264" s="545"/>
      <c r="D264" s="545"/>
      <c r="E264" s="545"/>
      <c r="F264" s="545"/>
      <c r="G264" s="545"/>
      <c r="H264" s="545"/>
      <c r="I264" s="545"/>
      <c r="J264" s="545"/>
      <c r="K264" s="545"/>
      <c r="L264" s="545"/>
      <c r="M264" s="545"/>
      <c r="N264" s="545"/>
      <c r="O264" s="252">
        <v>92772</v>
      </c>
      <c r="P264" s="357"/>
    </row>
    <row r="265" spans="1:16" ht="14.25" customHeight="1">
      <c r="A265" s="190"/>
      <c r="C265" s="193"/>
      <c r="E265" s="193"/>
      <c r="G265" s="193"/>
      <c r="O265" s="339"/>
    </row>
    <row r="266" spans="1:16" s="191" customFormat="1" ht="14.25" customHeight="1">
      <c r="A266" s="190"/>
      <c r="B266" s="128"/>
      <c r="C266" s="193" t="s">
        <v>101</v>
      </c>
      <c r="D266" s="128"/>
      <c r="E266" s="128"/>
      <c r="F266" s="128"/>
      <c r="G266" s="128"/>
      <c r="H266" s="128"/>
      <c r="I266" s="128"/>
      <c r="J266" s="128"/>
      <c r="K266" s="128"/>
      <c r="L266" s="128"/>
      <c r="M266" s="128"/>
      <c r="N266" s="128"/>
      <c r="O266" s="339"/>
      <c r="P266" s="189"/>
    </row>
    <row r="267" spans="1:16" ht="14.25" customHeight="1">
      <c r="A267" s="190"/>
      <c r="B267" s="128" t="s">
        <v>230</v>
      </c>
      <c r="C267" s="193">
        <v>295.20999999999998</v>
      </c>
      <c r="D267" s="128" t="s">
        <v>102</v>
      </c>
      <c r="O267" s="339"/>
    </row>
    <row r="268" spans="1:16">
      <c r="A268" s="190"/>
      <c r="C268" s="193"/>
      <c r="O268" s="339"/>
      <c r="P268" s="273"/>
    </row>
    <row r="269" spans="1:16">
      <c r="A269" s="290"/>
      <c r="B269" s="191" t="s">
        <v>92</v>
      </c>
      <c r="C269" s="274">
        <f>C267</f>
        <v>295.20999999999998</v>
      </c>
      <c r="D269" s="191" t="s">
        <v>102</v>
      </c>
      <c r="E269" s="191"/>
      <c r="F269" s="191"/>
      <c r="G269" s="191"/>
      <c r="H269" s="191"/>
      <c r="I269" s="191"/>
      <c r="J269" s="191"/>
      <c r="K269" s="191"/>
      <c r="L269" s="191"/>
      <c r="M269" s="191"/>
      <c r="N269" s="191"/>
      <c r="O269" s="351"/>
    </row>
    <row r="270" spans="1:16" ht="14.25" customHeight="1">
      <c r="A270" s="190"/>
      <c r="C270" s="193"/>
      <c r="E270" s="193"/>
      <c r="G270" s="193"/>
      <c r="O270" s="339"/>
      <c r="P270" s="350"/>
    </row>
    <row r="271" spans="1:16" ht="14.25" customHeight="1">
      <c r="A271" s="245" t="s">
        <v>332</v>
      </c>
      <c r="B271" s="544" t="s">
        <v>459</v>
      </c>
      <c r="C271" s="544"/>
      <c r="D271" s="544"/>
      <c r="E271" s="544"/>
      <c r="F271" s="544"/>
      <c r="G271" s="544"/>
      <c r="H271" s="544"/>
      <c r="I271" s="544"/>
      <c r="J271" s="544"/>
      <c r="K271" s="544"/>
      <c r="L271" s="544"/>
      <c r="M271" s="544"/>
      <c r="N271" s="544"/>
      <c r="O271" s="346" t="s">
        <v>1011</v>
      </c>
      <c r="P271" s="350" t="s">
        <v>74</v>
      </c>
    </row>
    <row r="272" spans="1:16" ht="15" customHeight="1">
      <c r="C272" s="193"/>
      <c r="E272" s="193"/>
      <c r="G272" s="193"/>
      <c r="O272" s="339"/>
    </row>
    <row r="273" spans="1:33" ht="15" customHeight="1">
      <c r="B273" s="128" t="s">
        <v>1327</v>
      </c>
      <c r="C273" s="193"/>
      <c r="E273" s="193"/>
      <c r="G273" s="193"/>
      <c r="O273" s="339"/>
    </row>
    <row r="274" spans="1:33" ht="15" customHeight="1">
      <c r="C274" s="193"/>
      <c r="E274" s="193"/>
      <c r="G274" s="193"/>
      <c r="O274" s="339"/>
    </row>
    <row r="275" spans="1:33" ht="15" customHeight="1">
      <c r="B275" s="191"/>
      <c r="C275" s="193" t="s">
        <v>77</v>
      </c>
      <c r="E275" s="187"/>
      <c r="G275" s="187"/>
      <c r="O275" s="339"/>
    </row>
    <row r="276" spans="1:33" ht="15" customHeight="1">
      <c r="A276" s="190"/>
      <c r="B276" s="191" t="s">
        <v>80</v>
      </c>
      <c r="C276" s="274">
        <f>C138</f>
        <v>970.41</v>
      </c>
      <c r="D276" s="191" t="s">
        <v>42</v>
      </c>
      <c r="E276" s="193"/>
      <c r="F276" s="192"/>
      <c r="I276" s="193"/>
      <c r="O276" s="339"/>
    </row>
    <row r="277" spans="1:33" ht="15" customHeight="1">
      <c r="A277" s="190"/>
      <c r="C277" s="193"/>
      <c r="E277" s="193"/>
      <c r="G277" s="193"/>
      <c r="O277" s="339"/>
      <c r="P277" s="350"/>
    </row>
    <row r="278" spans="1:33" ht="14.25" customHeight="1">
      <c r="A278" s="188" t="s">
        <v>335</v>
      </c>
      <c r="B278" s="551" t="s">
        <v>333</v>
      </c>
      <c r="C278" s="552"/>
      <c r="D278" s="552"/>
      <c r="E278" s="552"/>
      <c r="F278" s="552"/>
      <c r="G278" s="552"/>
      <c r="H278" s="552"/>
      <c r="I278" s="552"/>
      <c r="J278" s="552"/>
      <c r="K278" s="552"/>
      <c r="L278" s="552"/>
      <c r="M278" s="552"/>
      <c r="N278" s="552"/>
      <c r="O278" s="346"/>
      <c r="P278" s="347"/>
    </row>
    <row r="279" spans="1:33" ht="15" customHeight="1">
      <c r="A279" s="190"/>
      <c r="C279" s="193"/>
      <c r="E279" s="193"/>
      <c r="G279" s="193"/>
      <c r="O279" s="339"/>
    </row>
    <row r="280" spans="1:33">
      <c r="A280" s="245" t="s">
        <v>336</v>
      </c>
      <c r="B280" s="553" t="s">
        <v>334</v>
      </c>
      <c r="C280" s="553"/>
      <c r="D280" s="553"/>
      <c r="E280" s="553"/>
      <c r="F280" s="553"/>
      <c r="G280" s="553"/>
      <c r="H280" s="553"/>
      <c r="I280" s="553"/>
      <c r="J280" s="553"/>
      <c r="K280" s="553"/>
      <c r="L280" s="553"/>
      <c r="M280" s="553"/>
      <c r="N280" s="553"/>
      <c r="O280" s="346">
        <v>96558</v>
      </c>
      <c r="P280" s="350"/>
    </row>
    <row r="281" spans="1:33" ht="14.25" customHeight="1">
      <c r="A281" s="190"/>
      <c r="C281" s="193"/>
      <c r="E281" s="193"/>
      <c r="G281" s="193"/>
      <c r="P281" s="339"/>
    </row>
    <row r="282" spans="1:33" ht="14.25">
      <c r="A282" s="190"/>
      <c r="C282" s="193" t="s">
        <v>75</v>
      </c>
      <c r="E282" s="193" t="s">
        <v>86</v>
      </c>
      <c r="G282" s="128" t="s">
        <v>76</v>
      </c>
      <c r="I282" s="128" t="s">
        <v>87</v>
      </c>
      <c r="K282" s="193" t="s">
        <v>91</v>
      </c>
      <c r="O282" s="339"/>
    </row>
    <row r="283" spans="1:33" s="258" customFormat="1" ht="14.25">
      <c r="A283" s="307" t="s">
        <v>98</v>
      </c>
      <c r="B283" s="128" t="s">
        <v>1299</v>
      </c>
      <c r="C283" s="193">
        <f>C168</f>
        <v>0.8</v>
      </c>
      <c r="D283" s="128" t="s">
        <v>78</v>
      </c>
      <c r="E283" s="193">
        <f>E168</f>
        <v>0.8</v>
      </c>
      <c r="F283" s="128" t="s">
        <v>78</v>
      </c>
      <c r="G283" s="193">
        <v>0.3</v>
      </c>
      <c r="H283" s="128" t="s">
        <v>78</v>
      </c>
      <c r="I283" s="193">
        <f>I168</f>
        <v>8</v>
      </c>
      <c r="J283" s="128" t="s">
        <v>95</v>
      </c>
      <c r="K283" s="193">
        <f>C283*E283*G283*I283</f>
        <v>1.5360000000000003</v>
      </c>
      <c r="L283" s="128" t="s">
        <v>44</v>
      </c>
      <c r="M283" s="128"/>
      <c r="N283" s="128"/>
      <c r="O283" s="339"/>
      <c r="P283" s="189"/>
    </row>
    <row r="284" spans="1:33" ht="15" customHeight="1">
      <c r="A284" s="307"/>
      <c r="B284" s="128" t="s">
        <v>384</v>
      </c>
      <c r="C284" s="193">
        <f>C169</f>
        <v>0.40000000000000008</v>
      </c>
      <c r="D284" s="128" t="s">
        <v>78</v>
      </c>
      <c r="E284" s="193">
        <f>E169</f>
        <v>0.40000000000000008</v>
      </c>
      <c r="F284" s="128" t="s">
        <v>78</v>
      </c>
      <c r="G284" s="193">
        <f>0.4</f>
        <v>0.4</v>
      </c>
      <c r="H284" s="128" t="s">
        <v>78</v>
      </c>
      <c r="I284" s="193">
        <f>I169</f>
        <v>4</v>
      </c>
      <c r="J284" s="128" t="s">
        <v>95</v>
      </c>
      <c r="K284" s="193">
        <f>C284*E284*G284*I284</f>
        <v>0.25600000000000012</v>
      </c>
      <c r="L284" s="128" t="s">
        <v>44</v>
      </c>
      <c r="O284" s="339"/>
    </row>
    <row r="285" spans="1:33" ht="15" customHeight="1">
      <c r="A285" s="190"/>
      <c r="C285" s="193"/>
      <c r="E285" s="193"/>
      <c r="G285" s="193"/>
      <c r="I285" s="193"/>
      <c r="K285" s="193"/>
      <c r="O285" s="339"/>
    </row>
    <row r="286" spans="1:33" ht="15" customHeight="1">
      <c r="A286" s="190"/>
      <c r="B286" s="191" t="s">
        <v>92</v>
      </c>
      <c r="C286" s="192">
        <f>SUM(K283:K284)</f>
        <v>1.7920000000000003</v>
      </c>
      <c r="D286" s="191" t="s">
        <v>44</v>
      </c>
      <c r="E286" s="193"/>
      <c r="G286" s="193"/>
      <c r="I286" s="193"/>
      <c r="K286" s="193"/>
      <c r="O286" s="339"/>
    </row>
    <row r="287" spans="1:33" ht="14.25" customHeight="1">
      <c r="A287" s="190"/>
      <c r="C287" s="193"/>
      <c r="E287" s="193"/>
      <c r="G287" s="193"/>
      <c r="I287" s="193"/>
      <c r="K287" s="193"/>
      <c r="O287" s="339"/>
      <c r="Q287" s="191"/>
      <c r="R287" s="191"/>
      <c r="S287" s="191"/>
      <c r="T287" s="191"/>
      <c r="U287" s="191"/>
      <c r="V287" s="191"/>
      <c r="W287" s="191"/>
      <c r="X287" s="191"/>
      <c r="Y287" s="191"/>
      <c r="Z287" s="191"/>
      <c r="AA287" s="191"/>
      <c r="AB287" s="191"/>
      <c r="AC287" s="191"/>
      <c r="AD287" s="191"/>
      <c r="AE287" s="191"/>
      <c r="AF287" s="191"/>
      <c r="AG287" s="191"/>
    </row>
    <row r="288" spans="1:33">
      <c r="A288" s="245" t="s">
        <v>337</v>
      </c>
      <c r="B288" s="553" t="s">
        <v>99</v>
      </c>
      <c r="C288" s="550"/>
      <c r="D288" s="550"/>
      <c r="E288" s="550"/>
      <c r="F288" s="550"/>
      <c r="G288" s="550"/>
      <c r="H288" s="550"/>
      <c r="I288" s="550"/>
      <c r="J288" s="550"/>
      <c r="K288" s="550"/>
      <c r="L288" s="550"/>
      <c r="M288" s="550"/>
      <c r="N288" s="550"/>
      <c r="O288" s="346">
        <v>96535</v>
      </c>
      <c r="P288" s="350"/>
      <c r="S288" s="129"/>
      <c r="T288" s="129"/>
      <c r="U288" s="129"/>
      <c r="V288" s="129"/>
      <c r="W288" s="129"/>
      <c r="X288" s="129"/>
      <c r="Y288" s="129"/>
      <c r="Z288" s="129"/>
      <c r="AA288" s="129"/>
      <c r="AB288" s="129"/>
      <c r="AC288" s="129"/>
      <c r="AD288" s="129"/>
      <c r="AE288" s="129"/>
      <c r="AF288" s="129"/>
      <c r="AG288" s="129"/>
    </row>
    <row r="289" spans="1:33" ht="14.25">
      <c r="A289" s="190"/>
      <c r="C289" s="193"/>
      <c r="E289" s="193"/>
      <c r="G289" s="193"/>
      <c r="P289" s="339"/>
    </row>
    <row r="290" spans="1:33" ht="14.25" customHeight="1">
      <c r="A290" s="190"/>
      <c r="C290" s="193" t="s">
        <v>75</v>
      </c>
      <c r="E290" s="193" t="s">
        <v>86</v>
      </c>
      <c r="G290" s="128" t="s">
        <v>76</v>
      </c>
      <c r="I290" s="128" t="s">
        <v>87</v>
      </c>
      <c r="K290" s="193" t="s">
        <v>77</v>
      </c>
      <c r="O290" s="339"/>
    </row>
    <row r="291" spans="1:33" ht="15" customHeight="1">
      <c r="A291" s="307" t="s">
        <v>98</v>
      </c>
      <c r="B291" s="128" t="s">
        <v>1331</v>
      </c>
      <c r="C291" s="193">
        <f>C283</f>
        <v>0.8</v>
      </c>
      <c r="D291" s="128" t="s">
        <v>232</v>
      </c>
      <c r="E291" s="193">
        <f>E283</f>
        <v>0.8</v>
      </c>
      <c r="F291" s="128" t="s">
        <v>233</v>
      </c>
      <c r="G291" s="193">
        <f>G283</f>
        <v>0.3</v>
      </c>
      <c r="H291" s="128" t="s">
        <v>78</v>
      </c>
      <c r="I291" s="193">
        <f>I283</f>
        <v>8</v>
      </c>
      <c r="J291" s="128" t="s">
        <v>95</v>
      </c>
      <c r="K291" s="193">
        <f>(C291+E291)*2*G291*I291</f>
        <v>7.68</v>
      </c>
      <c r="L291" s="128" t="s">
        <v>42</v>
      </c>
      <c r="O291" s="339"/>
    </row>
    <row r="292" spans="1:33" ht="15" customHeight="1">
      <c r="A292" s="307"/>
      <c r="B292" s="128" t="s">
        <v>1117</v>
      </c>
      <c r="C292" s="193">
        <f>C284</f>
        <v>0.40000000000000008</v>
      </c>
      <c r="D292" s="128" t="s">
        <v>232</v>
      </c>
      <c r="E292" s="193">
        <f>E284</f>
        <v>0.40000000000000008</v>
      </c>
      <c r="F292" s="128" t="s">
        <v>233</v>
      </c>
      <c r="G292" s="193">
        <f>G284</f>
        <v>0.4</v>
      </c>
      <c r="H292" s="128" t="s">
        <v>78</v>
      </c>
      <c r="I292" s="193">
        <f>I284</f>
        <v>4</v>
      </c>
      <c r="J292" s="128" t="s">
        <v>95</v>
      </c>
      <c r="K292" s="193">
        <f>(C292+E292)*2*G292*I292</f>
        <v>2.5600000000000005</v>
      </c>
      <c r="L292" s="128" t="s">
        <v>42</v>
      </c>
      <c r="O292" s="339"/>
    </row>
    <row r="293" spans="1:33" ht="14.25" customHeight="1">
      <c r="A293" s="190"/>
      <c r="C293" s="193"/>
      <c r="E293" s="193"/>
      <c r="G293" s="193"/>
      <c r="I293" s="193"/>
      <c r="K293" s="193"/>
      <c r="O293" s="339"/>
    </row>
    <row r="294" spans="1:33" ht="14.25" customHeight="1">
      <c r="A294" s="190"/>
      <c r="B294" s="191" t="s">
        <v>92</v>
      </c>
      <c r="C294" s="192">
        <f>SUM(K291:K292)</f>
        <v>10.24</v>
      </c>
      <c r="D294" s="191" t="s">
        <v>42</v>
      </c>
      <c r="E294" s="193"/>
      <c r="G294" s="193"/>
      <c r="I294" s="193"/>
      <c r="K294" s="193"/>
      <c r="O294" s="339"/>
      <c r="Q294" s="129"/>
      <c r="R294" s="129"/>
      <c r="S294" s="129"/>
      <c r="T294" s="129"/>
      <c r="U294" s="129"/>
      <c r="V294" s="129"/>
      <c r="W294" s="129"/>
      <c r="X294" s="129"/>
      <c r="Y294" s="129"/>
      <c r="Z294" s="129"/>
      <c r="AA294" s="129"/>
      <c r="AB294" s="129"/>
      <c r="AC294" s="129"/>
      <c r="AD294" s="129"/>
      <c r="AE294" s="129"/>
      <c r="AF294" s="129"/>
      <c r="AG294" s="129"/>
    </row>
    <row r="295" spans="1:33" ht="14.25" customHeight="1">
      <c r="A295" s="190"/>
      <c r="C295" s="193"/>
      <c r="I295" s="193"/>
      <c r="J295" s="191"/>
      <c r="N295" s="272"/>
    </row>
    <row r="296" spans="1:33" ht="15" customHeight="1">
      <c r="A296" s="245" t="s">
        <v>338</v>
      </c>
      <c r="B296" s="553" t="s">
        <v>919</v>
      </c>
      <c r="C296" s="550"/>
      <c r="D296" s="550"/>
      <c r="E296" s="550"/>
      <c r="F296" s="550"/>
      <c r="G296" s="550"/>
      <c r="H296" s="550"/>
      <c r="I296" s="550"/>
      <c r="J296" s="550"/>
      <c r="K296" s="550"/>
      <c r="L296" s="550"/>
      <c r="M296" s="550"/>
      <c r="N296" s="550"/>
      <c r="O296" s="339">
        <v>96546</v>
      </c>
    </row>
    <row r="297" spans="1:33" ht="14.25" customHeight="1">
      <c r="A297" s="190"/>
      <c r="C297" s="193"/>
      <c r="E297" s="193"/>
      <c r="G297" s="193"/>
      <c r="P297" s="339"/>
    </row>
    <row r="298" spans="1:33" ht="14.25" customHeight="1">
      <c r="A298" s="312"/>
      <c r="C298" s="193" t="s">
        <v>101</v>
      </c>
      <c r="I298" s="313"/>
      <c r="J298" s="129"/>
      <c r="K298" s="187"/>
      <c r="L298" s="187"/>
      <c r="M298" s="129"/>
      <c r="N298" s="129"/>
      <c r="O298" s="347"/>
      <c r="P298" s="346"/>
    </row>
    <row r="299" spans="1:33" ht="14.25" customHeight="1">
      <c r="A299" s="312"/>
      <c r="B299" s="128" t="s">
        <v>1299</v>
      </c>
      <c r="C299" s="197">
        <v>29.22</v>
      </c>
      <c r="D299" s="128" t="s">
        <v>102</v>
      </c>
      <c r="I299" s="313"/>
      <c r="J299" s="129"/>
      <c r="K299" s="187"/>
      <c r="L299" s="187"/>
      <c r="M299" s="129"/>
      <c r="N299" s="129"/>
      <c r="O299" s="347"/>
      <c r="P299" s="346"/>
    </row>
    <row r="300" spans="1:33" ht="14.25" customHeight="1">
      <c r="A300" s="312"/>
      <c r="C300" s="197"/>
      <c r="I300" s="313"/>
      <c r="J300" s="129"/>
      <c r="K300" s="187"/>
      <c r="L300" s="187"/>
      <c r="M300" s="129"/>
      <c r="N300" s="129"/>
      <c r="O300" s="347"/>
      <c r="P300" s="346"/>
    </row>
    <row r="301" spans="1:33" ht="14.25" customHeight="1">
      <c r="A301" s="199"/>
      <c r="B301" s="191" t="s">
        <v>92</v>
      </c>
      <c r="C301" s="274">
        <f>C299</f>
        <v>29.22</v>
      </c>
      <c r="D301" s="191" t="s">
        <v>102</v>
      </c>
      <c r="E301" s="193"/>
      <c r="G301" s="193"/>
      <c r="I301" s="129"/>
      <c r="J301" s="187"/>
      <c r="K301" s="129"/>
      <c r="L301" s="129"/>
      <c r="M301" s="129"/>
      <c r="N301" s="129"/>
      <c r="O301" s="347"/>
      <c r="P301" s="358"/>
    </row>
    <row r="302" spans="1:33" ht="14.25" customHeight="1">
      <c r="A302" s="199"/>
      <c r="B302" s="191"/>
      <c r="C302" s="192"/>
      <c r="D302" s="191"/>
      <c r="E302" s="193"/>
      <c r="G302" s="193"/>
      <c r="I302" s="129"/>
      <c r="J302" s="187"/>
      <c r="K302" s="129"/>
      <c r="L302" s="129"/>
      <c r="M302" s="129"/>
      <c r="N302" s="129"/>
      <c r="O302" s="347"/>
      <c r="P302" s="358"/>
    </row>
    <row r="303" spans="1:33">
      <c r="A303" s="245" t="s">
        <v>920</v>
      </c>
      <c r="B303" s="544" t="s">
        <v>115</v>
      </c>
      <c r="C303" s="550"/>
      <c r="D303" s="550"/>
      <c r="E303" s="550"/>
      <c r="F303" s="550"/>
      <c r="G303" s="550"/>
      <c r="H303" s="550"/>
      <c r="I303" s="550"/>
      <c r="J303" s="550"/>
      <c r="K303" s="550"/>
      <c r="L303" s="550"/>
      <c r="M303" s="550"/>
      <c r="N303" s="550"/>
      <c r="O303" s="346">
        <v>96619</v>
      </c>
      <c r="P303" s="350"/>
    </row>
    <row r="304" spans="1:33" ht="14.25">
      <c r="A304" s="190"/>
      <c r="C304" s="193"/>
      <c r="E304" s="193"/>
      <c r="G304" s="193"/>
      <c r="O304" s="339"/>
    </row>
    <row r="305" spans="1:33" ht="14.25" customHeight="1">
      <c r="A305" s="190"/>
      <c r="C305" s="193" t="s">
        <v>75</v>
      </c>
      <c r="E305" s="193" t="s">
        <v>86</v>
      </c>
      <c r="G305" s="128" t="s">
        <v>87</v>
      </c>
      <c r="I305" s="193" t="s">
        <v>77</v>
      </c>
      <c r="O305" s="339"/>
    </row>
    <row r="306" spans="1:33" ht="15" customHeight="1">
      <c r="A306" s="307" t="s">
        <v>98</v>
      </c>
      <c r="B306" s="128" t="s">
        <v>1299</v>
      </c>
      <c r="C306" s="193">
        <f>C283</f>
        <v>0.8</v>
      </c>
      <c r="D306" s="128" t="s">
        <v>78</v>
      </c>
      <c r="E306" s="193">
        <f>E283</f>
        <v>0.8</v>
      </c>
      <c r="F306" s="128" t="s">
        <v>78</v>
      </c>
      <c r="G306" s="193">
        <f>I283</f>
        <v>8</v>
      </c>
      <c r="H306" s="128" t="s">
        <v>95</v>
      </c>
      <c r="I306" s="193">
        <f>C306*E306*G306</f>
        <v>5.120000000000001</v>
      </c>
      <c r="J306" s="128" t="s">
        <v>42</v>
      </c>
      <c r="O306" s="339"/>
    </row>
    <row r="307" spans="1:33" ht="14.25">
      <c r="A307" s="307"/>
      <c r="B307" s="128" t="s">
        <v>384</v>
      </c>
      <c r="C307" s="193">
        <f>C284</f>
        <v>0.40000000000000008</v>
      </c>
      <c r="D307" s="128" t="s">
        <v>78</v>
      </c>
      <c r="E307" s="193">
        <f>E284</f>
        <v>0.40000000000000008</v>
      </c>
      <c r="F307" s="128" t="s">
        <v>78</v>
      </c>
      <c r="G307" s="193">
        <f>I284</f>
        <v>4</v>
      </c>
      <c r="H307" s="128" t="s">
        <v>95</v>
      </c>
      <c r="I307" s="193">
        <f>C307*E307*G307</f>
        <v>0.64000000000000024</v>
      </c>
      <c r="J307" s="128" t="s">
        <v>42</v>
      </c>
      <c r="O307" s="339"/>
    </row>
    <row r="308" spans="1:33" ht="14.25" customHeight="1">
      <c r="A308" s="190"/>
      <c r="C308" s="193"/>
      <c r="E308" s="193"/>
      <c r="G308" s="193"/>
      <c r="I308" s="193"/>
      <c r="K308" s="193"/>
      <c r="O308" s="339"/>
    </row>
    <row r="309" spans="1:33" ht="14.25" customHeight="1">
      <c r="A309" s="199"/>
      <c r="B309" s="191" t="s">
        <v>92</v>
      </c>
      <c r="C309" s="200">
        <f>SUM(I306:I307)</f>
        <v>5.7600000000000016</v>
      </c>
      <c r="D309" s="200" t="s">
        <v>42</v>
      </c>
      <c r="E309" s="187"/>
      <c r="F309" s="187"/>
      <c r="G309" s="187"/>
      <c r="H309" s="129"/>
      <c r="I309" s="187"/>
      <c r="J309" s="187"/>
      <c r="K309" s="129"/>
      <c r="L309" s="129"/>
      <c r="M309" s="129"/>
      <c r="N309" s="129"/>
      <c r="O309" s="358"/>
      <c r="P309" s="347"/>
    </row>
    <row r="310" spans="1:33" ht="14.25" customHeight="1">
      <c r="A310" s="199"/>
      <c r="C310" s="200"/>
      <c r="D310" s="200"/>
      <c r="E310" s="187"/>
      <c r="F310" s="187"/>
      <c r="G310" s="187"/>
      <c r="H310" s="129"/>
      <c r="I310" s="187"/>
      <c r="J310" s="187"/>
      <c r="K310" s="129"/>
      <c r="L310" s="129"/>
      <c r="M310" s="129"/>
      <c r="N310" s="129"/>
      <c r="O310" s="358"/>
      <c r="P310" s="347"/>
    </row>
    <row r="311" spans="1:33" ht="14.25" customHeight="1">
      <c r="A311" s="188" t="s">
        <v>339</v>
      </c>
      <c r="B311" s="551" t="s">
        <v>922</v>
      </c>
      <c r="C311" s="552"/>
      <c r="D311" s="552"/>
      <c r="E311" s="552"/>
      <c r="F311" s="552"/>
      <c r="G311" s="552"/>
      <c r="H311" s="552"/>
      <c r="I311" s="552"/>
      <c r="J311" s="552"/>
      <c r="K311" s="552"/>
      <c r="L311" s="552"/>
      <c r="M311" s="552"/>
      <c r="N311" s="552"/>
      <c r="O311" s="346"/>
      <c r="P311" s="347"/>
    </row>
    <row r="312" spans="1:33" ht="14.25" customHeight="1">
      <c r="A312" s="190"/>
      <c r="C312" s="193"/>
      <c r="E312" s="193"/>
      <c r="G312" s="193"/>
      <c r="O312" s="339"/>
    </row>
    <row r="313" spans="1:33">
      <c r="A313" s="245" t="s">
        <v>340</v>
      </c>
      <c r="B313" s="544" t="s">
        <v>156</v>
      </c>
      <c r="C313" s="550"/>
      <c r="D313" s="550"/>
      <c r="E313" s="550"/>
      <c r="F313" s="550"/>
      <c r="G313" s="550"/>
      <c r="H313" s="550"/>
      <c r="I313" s="550"/>
      <c r="J313" s="550"/>
      <c r="K313" s="550"/>
      <c r="L313" s="550"/>
      <c r="M313" s="550"/>
      <c r="N313" s="550"/>
      <c r="O313" s="252">
        <v>97087</v>
      </c>
      <c r="P313" s="350"/>
    </row>
    <row r="314" spans="1:33" ht="15" customHeight="1">
      <c r="A314" s="190"/>
      <c r="C314" s="193"/>
      <c r="E314" s="193"/>
      <c r="G314" s="193"/>
      <c r="O314" s="339"/>
      <c r="R314" s="129"/>
      <c r="S314" s="129"/>
      <c r="T314" s="129"/>
      <c r="U314" s="129"/>
      <c r="V314" s="129"/>
      <c r="W314" s="129"/>
      <c r="X314" s="129"/>
      <c r="Y314" s="129"/>
      <c r="Z314" s="129"/>
      <c r="AA314" s="129"/>
      <c r="AB314" s="129"/>
      <c r="AC314" s="129"/>
      <c r="AD314" s="129"/>
      <c r="AE314" s="129"/>
      <c r="AF314" s="129"/>
      <c r="AG314" s="129"/>
    </row>
    <row r="315" spans="1:33" ht="14.25">
      <c r="A315" s="190"/>
      <c r="B315" s="575" t="s">
        <v>1332</v>
      </c>
      <c r="C315" s="576"/>
      <c r="D315" s="576"/>
      <c r="E315" s="576"/>
      <c r="F315" s="576"/>
      <c r="G315" s="576"/>
      <c r="H315" s="576"/>
      <c r="I315" s="576"/>
      <c r="J315" s="576"/>
      <c r="K315" s="576"/>
      <c r="L315" s="576"/>
      <c r="M315" s="576"/>
      <c r="N315" s="576"/>
      <c r="O315" s="339"/>
      <c r="S315" s="129"/>
      <c r="T315" s="129"/>
      <c r="U315" s="129"/>
      <c r="V315" s="129"/>
      <c r="W315" s="129"/>
      <c r="X315" s="129"/>
      <c r="Y315" s="129"/>
      <c r="Z315" s="129"/>
      <c r="AA315" s="129"/>
      <c r="AB315" s="129"/>
      <c r="AC315" s="129"/>
      <c r="AD315" s="129"/>
      <c r="AE315" s="129"/>
      <c r="AF315" s="129"/>
      <c r="AG315" s="129"/>
    </row>
    <row r="316" spans="1:33" ht="14.25" customHeight="1">
      <c r="A316" s="190"/>
      <c r="B316" s="272"/>
      <c r="C316" s="272"/>
      <c r="D316" s="272"/>
      <c r="E316" s="272"/>
      <c r="F316" s="272"/>
      <c r="G316" s="272"/>
      <c r="H316" s="272"/>
      <c r="I316" s="272"/>
      <c r="J316" s="272"/>
      <c r="K316" s="272"/>
      <c r="L316" s="272"/>
      <c r="M316" s="272"/>
      <c r="N316" s="272"/>
      <c r="O316" s="339"/>
    </row>
    <row r="317" spans="1:33" ht="14.25" customHeight="1">
      <c r="A317" s="190"/>
      <c r="B317" s="191"/>
      <c r="C317" s="193" t="s">
        <v>77</v>
      </c>
      <c r="E317" s="187"/>
      <c r="G317" s="187"/>
      <c r="O317" s="339"/>
    </row>
    <row r="318" spans="1:33" ht="14.25" customHeight="1">
      <c r="A318" s="190"/>
      <c r="B318" s="128" t="s">
        <v>1325</v>
      </c>
      <c r="C318" s="197">
        <f>C133</f>
        <v>957</v>
      </c>
      <c r="D318" s="128" t="s">
        <v>42</v>
      </c>
      <c r="E318" s="193"/>
      <c r="G318" s="193"/>
      <c r="O318" s="339"/>
    </row>
    <row r="319" spans="1:33" ht="14.25" customHeight="1">
      <c r="A319" s="190"/>
      <c r="B319" s="128" t="s">
        <v>230</v>
      </c>
      <c r="C319" s="197">
        <f>C134</f>
        <v>8.41</v>
      </c>
      <c r="D319" s="128" t="s">
        <v>42</v>
      </c>
      <c r="E319" s="193"/>
      <c r="G319" s="193"/>
      <c r="O319" s="339"/>
    </row>
    <row r="320" spans="1:33" ht="14.25" customHeight="1">
      <c r="A320" s="190"/>
      <c r="B320" s="128" t="s">
        <v>1267</v>
      </c>
      <c r="C320" s="197">
        <f>C135</f>
        <v>2</v>
      </c>
      <c r="D320" s="128" t="s">
        <v>42</v>
      </c>
      <c r="E320" s="193"/>
      <c r="G320" s="193"/>
      <c r="O320" s="339"/>
    </row>
    <row r="321" spans="1:33" ht="14.25" customHeight="1">
      <c r="A321" s="190"/>
      <c r="B321" s="128" t="s">
        <v>502</v>
      </c>
      <c r="C321" s="197">
        <f>C136</f>
        <v>3</v>
      </c>
      <c r="D321" s="128" t="s">
        <v>42</v>
      </c>
      <c r="E321" s="193"/>
      <c r="G321" s="193"/>
      <c r="O321" s="339"/>
    </row>
    <row r="322" spans="1:33" ht="14.25" customHeight="1">
      <c r="A322" s="190"/>
      <c r="C322" s="193"/>
      <c r="E322" s="193"/>
      <c r="G322" s="193"/>
      <c r="O322" s="339"/>
    </row>
    <row r="323" spans="1:33" ht="15" customHeight="1">
      <c r="A323" s="190"/>
      <c r="B323" s="191" t="s">
        <v>80</v>
      </c>
      <c r="C323" s="274">
        <f>SUM(C318:C321)</f>
        <v>970.41</v>
      </c>
      <c r="D323" s="191" t="s">
        <v>42</v>
      </c>
      <c r="E323" s="193"/>
      <c r="F323" s="192"/>
      <c r="I323" s="193"/>
      <c r="O323" s="339"/>
      <c r="R323" s="129"/>
      <c r="S323" s="129"/>
      <c r="T323" s="129"/>
      <c r="U323" s="129"/>
      <c r="V323" s="129"/>
      <c r="W323" s="129"/>
      <c r="X323" s="129"/>
      <c r="Y323" s="129"/>
      <c r="Z323" s="129"/>
      <c r="AA323" s="129"/>
      <c r="AB323" s="129"/>
      <c r="AC323" s="129"/>
      <c r="AD323" s="129"/>
      <c r="AE323" s="129"/>
      <c r="AF323" s="129"/>
      <c r="AG323" s="129"/>
    </row>
    <row r="324" spans="1:33" ht="14.25">
      <c r="A324" s="190"/>
      <c r="C324" s="193"/>
      <c r="E324" s="193"/>
      <c r="G324" s="193"/>
      <c r="O324" s="339"/>
      <c r="S324" s="129"/>
      <c r="T324" s="129"/>
      <c r="U324" s="129"/>
      <c r="V324" s="129"/>
      <c r="W324" s="129"/>
      <c r="X324" s="129"/>
      <c r="Y324" s="129"/>
      <c r="Z324" s="129"/>
      <c r="AA324" s="129"/>
      <c r="AB324" s="129"/>
      <c r="AC324" s="129"/>
      <c r="AD324" s="129"/>
      <c r="AE324" s="129"/>
      <c r="AF324" s="129"/>
      <c r="AG324" s="129"/>
    </row>
    <row r="325" spans="1:33">
      <c r="A325" s="245" t="s">
        <v>341</v>
      </c>
      <c r="B325" s="544" t="s">
        <v>105</v>
      </c>
      <c r="C325" s="550"/>
      <c r="D325" s="550"/>
      <c r="E325" s="550"/>
      <c r="F325" s="550"/>
      <c r="G325" s="550"/>
      <c r="H325" s="550"/>
      <c r="I325" s="550"/>
      <c r="J325" s="550"/>
      <c r="K325" s="550"/>
      <c r="L325" s="550"/>
      <c r="M325" s="550"/>
      <c r="N325" s="550"/>
      <c r="O325" s="252">
        <v>98557</v>
      </c>
      <c r="P325" s="350"/>
    </row>
    <row r="326" spans="1:33" ht="14.25" customHeight="1">
      <c r="A326" s="190"/>
      <c r="C326" s="193"/>
      <c r="E326" s="193"/>
      <c r="G326" s="193"/>
      <c r="O326" s="339"/>
      <c r="Q326" s="129"/>
      <c r="R326" s="129"/>
      <c r="S326" s="129"/>
      <c r="T326" s="129"/>
      <c r="U326" s="129"/>
      <c r="V326" s="129"/>
      <c r="W326" s="129"/>
      <c r="X326" s="129"/>
      <c r="Y326" s="129"/>
      <c r="Z326" s="129"/>
      <c r="AA326" s="129"/>
      <c r="AB326" s="129"/>
      <c r="AC326" s="129"/>
      <c r="AD326" s="129"/>
      <c r="AE326" s="129"/>
      <c r="AF326" s="129"/>
      <c r="AG326" s="129"/>
    </row>
    <row r="327" spans="1:33" ht="14.25" customHeight="1">
      <c r="A327" s="190"/>
      <c r="B327" s="191"/>
      <c r="C327" s="193" t="s">
        <v>157</v>
      </c>
      <c r="E327" s="193" t="s">
        <v>76</v>
      </c>
      <c r="F327" s="191"/>
      <c r="G327" s="128" t="s">
        <v>87</v>
      </c>
      <c r="I327" s="128" t="s">
        <v>77</v>
      </c>
      <c r="M327" s="272"/>
      <c r="Q327" s="129"/>
      <c r="R327" s="129"/>
      <c r="S327" s="129"/>
      <c r="T327" s="129"/>
      <c r="U327" s="129"/>
      <c r="V327" s="129"/>
      <c r="W327" s="129"/>
      <c r="X327" s="129"/>
      <c r="Y327" s="129"/>
      <c r="Z327" s="129"/>
      <c r="AA327" s="129"/>
      <c r="AB327" s="129"/>
      <c r="AC327" s="129"/>
      <c r="AD327" s="129"/>
      <c r="AE327" s="129"/>
      <c r="AF327" s="129"/>
      <c r="AG327" s="129"/>
    </row>
    <row r="328" spans="1:33" ht="14.25">
      <c r="A328" s="307" t="s">
        <v>98</v>
      </c>
      <c r="B328" s="128" t="s">
        <v>918</v>
      </c>
      <c r="C328" s="193">
        <f>(C291+E291)*2</f>
        <v>3.2</v>
      </c>
      <c r="D328" s="128" t="s">
        <v>78</v>
      </c>
      <c r="E328" s="193">
        <f>G291</f>
        <v>0.3</v>
      </c>
      <c r="F328" s="128" t="s">
        <v>78</v>
      </c>
      <c r="G328" s="193">
        <f>I291</f>
        <v>8</v>
      </c>
      <c r="H328" s="128" t="s">
        <v>95</v>
      </c>
      <c r="I328" s="193">
        <f>C328*E328*G328</f>
        <v>7.68</v>
      </c>
      <c r="J328" s="128" t="s">
        <v>42</v>
      </c>
      <c r="P328" s="339"/>
      <c r="Q328" s="129"/>
      <c r="R328" s="129"/>
      <c r="S328" s="129"/>
      <c r="T328" s="129"/>
      <c r="U328" s="129"/>
      <c r="V328" s="129"/>
      <c r="W328" s="129"/>
      <c r="X328" s="129"/>
      <c r="Y328" s="129"/>
      <c r="Z328" s="129"/>
      <c r="AA328" s="129"/>
      <c r="AB328" s="129"/>
      <c r="AC328" s="129"/>
      <c r="AD328" s="129"/>
      <c r="AE328" s="129"/>
      <c r="AF328" s="129"/>
      <c r="AG328" s="129"/>
    </row>
    <row r="329" spans="1:33" ht="14.25" customHeight="1">
      <c r="A329" s="307"/>
      <c r="B329" s="128" t="s">
        <v>384</v>
      </c>
      <c r="C329" s="193">
        <f>(C292+E292)*2</f>
        <v>1.6000000000000003</v>
      </c>
      <c r="D329" s="128" t="s">
        <v>78</v>
      </c>
      <c r="E329" s="193">
        <f>G284</f>
        <v>0.4</v>
      </c>
      <c r="F329" s="128" t="s">
        <v>78</v>
      </c>
      <c r="G329" s="193">
        <f>I284</f>
        <v>4</v>
      </c>
      <c r="H329" s="128" t="s">
        <v>95</v>
      </c>
      <c r="I329" s="193">
        <f>C329*E329*G329</f>
        <v>2.5600000000000005</v>
      </c>
      <c r="J329" s="128" t="s">
        <v>42</v>
      </c>
      <c r="P329" s="339"/>
      <c r="Q329" s="129"/>
      <c r="R329" s="129"/>
      <c r="S329" s="129"/>
      <c r="T329" s="129"/>
      <c r="U329" s="129"/>
      <c r="V329" s="129"/>
      <c r="W329" s="129"/>
      <c r="X329" s="129"/>
      <c r="Y329" s="129"/>
      <c r="Z329" s="129"/>
      <c r="AA329" s="129"/>
      <c r="AB329" s="129"/>
      <c r="AC329" s="129"/>
      <c r="AD329" s="129"/>
      <c r="AE329" s="129"/>
      <c r="AF329" s="129"/>
      <c r="AG329" s="129"/>
    </row>
    <row r="330" spans="1:33" ht="14.25" customHeight="1">
      <c r="A330" s="190"/>
      <c r="C330" s="193"/>
      <c r="E330" s="193"/>
      <c r="G330" s="193"/>
      <c r="I330" s="193"/>
      <c r="M330" s="272"/>
    </row>
    <row r="331" spans="1:33">
      <c r="A331" s="190"/>
      <c r="B331" s="191" t="s">
        <v>92</v>
      </c>
      <c r="C331" s="192">
        <f>SUM(I328:I329)</f>
        <v>10.24</v>
      </c>
      <c r="D331" s="191" t="s">
        <v>42</v>
      </c>
      <c r="E331" s="193"/>
      <c r="G331" s="193"/>
      <c r="H331" s="294"/>
      <c r="I331" s="193"/>
      <c r="M331" s="272"/>
    </row>
    <row r="332" spans="1:33" ht="14.25" customHeight="1">
      <c r="A332" s="190"/>
      <c r="C332" s="193"/>
      <c r="E332" s="193"/>
      <c r="G332" s="193"/>
      <c r="O332" s="339"/>
      <c r="Q332" s="359"/>
      <c r="R332" s="359"/>
      <c r="S332" s="359"/>
      <c r="T332" s="359"/>
      <c r="U332" s="359"/>
      <c r="V332" s="359"/>
      <c r="W332" s="359"/>
      <c r="X332" s="359"/>
      <c r="Y332" s="359"/>
      <c r="Z332" s="359"/>
      <c r="AA332" s="359"/>
      <c r="AB332" s="359"/>
      <c r="AC332" s="359"/>
      <c r="AD332" s="359"/>
      <c r="AE332" s="359"/>
      <c r="AF332" s="359"/>
      <c r="AG332" s="359"/>
    </row>
    <row r="333" spans="1:33" ht="14.25" customHeight="1">
      <c r="A333" s="188" t="s">
        <v>342</v>
      </c>
      <c r="B333" s="551" t="s">
        <v>351</v>
      </c>
      <c r="C333" s="552"/>
      <c r="D333" s="552"/>
      <c r="E333" s="552"/>
      <c r="F333" s="552"/>
      <c r="G333" s="552"/>
      <c r="H333" s="552"/>
      <c r="I333" s="552"/>
      <c r="J333" s="552"/>
      <c r="K333" s="552"/>
      <c r="L333" s="552"/>
      <c r="M333" s="552"/>
      <c r="N333" s="552"/>
      <c r="O333" s="337"/>
      <c r="P333" s="338"/>
      <c r="R333" s="129"/>
      <c r="S333" s="129"/>
      <c r="T333" s="129"/>
      <c r="U333" s="129"/>
      <c r="V333" s="129"/>
      <c r="W333" s="129"/>
      <c r="X333" s="129"/>
      <c r="Y333" s="129"/>
      <c r="Z333" s="129"/>
      <c r="AA333" s="129"/>
      <c r="AB333" s="129"/>
      <c r="AC333" s="129"/>
      <c r="AD333" s="129"/>
      <c r="AE333" s="129"/>
      <c r="AF333" s="129"/>
      <c r="AG333" s="129"/>
    </row>
    <row r="334" spans="1:33" ht="14.25">
      <c r="A334" s="190"/>
      <c r="C334" s="193"/>
      <c r="E334" s="193"/>
      <c r="G334" s="193"/>
      <c r="O334" s="339"/>
      <c r="R334" s="129"/>
      <c r="S334" s="129"/>
      <c r="T334" s="129"/>
      <c r="U334" s="129"/>
      <c r="V334" s="129"/>
      <c r="W334" s="129"/>
      <c r="X334" s="129"/>
      <c r="Y334" s="129"/>
      <c r="Z334" s="129"/>
      <c r="AA334" s="129"/>
      <c r="AB334" s="129"/>
      <c r="AC334" s="129"/>
      <c r="AD334" s="129"/>
      <c r="AE334" s="129"/>
      <c r="AF334" s="129"/>
      <c r="AG334" s="129"/>
    </row>
    <row r="335" spans="1:33">
      <c r="A335" s="245" t="s">
        <v>343</v>
      </c>
      <c r="B335" s="544" t="s">
        <v>226</v>
      </c>
      <c r="C335" s="550"/>
      <c r="D335" s="550"/>
      <c r="E335" s="550"/>
      <c r="F335" s="550"/>
      <c r="G335" s="550"/>
      <c r="H335" s="550"/>
      <c r="I335" s="550"/>
      <c r="J335" s="550"/>
      <c r="K335" s="550"/>
      <c r="L335" s="550"/>
      <c r="M335" s="550"/>
      <c r="N335" s="550"/>
      <c r="O335" s="252" t="s">
        <v>227</v>
      </c>
      <c r="P335" s="350" t="s">
        <v>74</v>
      </c>
      <c r="R335" s="129"/>
      <c r="S335" s="129"/>
      <c r="T335" s="129"/>
      <c r="U335" s="129"/>
      <c r="V335" s="129"/>
      <c r="W335" s="129"/>
      <c r="X335" s="129"/>
      <c r="Y335" s="129"/>
      <c r="Z335" s="129"/>
      <c r="AA335" s="129"/>
      <c r="AB335" s="129"/>
      <c r="AC335" s="129"/>
      <c r="AD335" s="129"/>
      <c r="AE335" s="129"/>
      <c r="AF335" s="129"/>
      <c r="AG335" s="129"/>
    </row>
    <row r="336" spans="1:33" ht="14.25" customHeight="1">
      <c r="A336" s="190"/>
      <c r="C336" s="193"/>
      <c r="E336" s="193"/>
      <c r="G336" s="193"/>
      <c r="O336" s="346"/>
    </row>
    <row r="337" spans="1:16" ht="14.25" customHeight="1">
      <c r="A337" s="190"/>
      <c r="B337" s="128" t="s">
        <v>505</v>
      </c>
      <c r="C337" s="193"/>
      <c r="E337" s="193"/>
      <c r="G337" s="193"/>
      <c r="O337" s="346"/>
    </row>
    <row r="338" spans="1:16" ht="14.25" customHeight="1">
      <c r="A338" s="190"/>
      <c r="C338" s="193"/>
      <c r="E338" s="193"/>
      <c r="G338" s="193"/>
      <c r="O338" s="346"/>
    </row>
    <row r="339" spans="1:16" ht="14.25" customHeight="1">
      <c r="A339" s="190"/>
      <c r="B339" s="314"/>
      <c r="C339" s="314" t="s">
        <v>77</v>
      </c>
      <c r="D339" s="314"/>
      <c r="E339" s="314"/>
      <c r="F339" s="314"/>
      <c r="G339" s="314"/>
      <c r="H339" s="314"/>
      <c r="I339" s="314"/>
      <c r="J339" s="314"/>
      <c r="K339" s="314"/>
      <c r="L339" s="314"/>
      <c r="M339" s="314"/>
      <c r="N339" s="314"/>
      <c r="O339" s="339"/>
    </row>
    <row r="340" spans="1:16" ht="14.25" customHeight="1">
      <c r="A340" s="190"/>
      <c r="B340" s="314" t="s">
        <v>1255</v>
      </c>
      <c r="C340" s="315">
        <v>546.24</v>
      </c>
      <c r="D340" s="314" t="s">
        <v>42</v>
      </c>
      <c r="E340" s="314"/>
      <c r="F340" s="314"/>
      <c r="G340" s="314"/>
      <c r="H340" s="314"/>
      <c r="I340" s="314"/>
      <c r="J340" s="314"/>
      <c r="K340" s="314"/>
      <c r="L340" s="314"/>
      <c r="M340" s="314"/>
      <c r="N340" s="314"/>
      <c r="O340" s="339"/>
    </row>
    <row r="341" spans="1:16" ht="14.25" customHeight="1">
      <c r="A341" s="190"/>
      <c r="B341" s="314" t="s">
        <v>1256</v>
      </c>
      <c r="C341" s="315">
        <v>722.69</v>
      </c>
      <c r="D341" s="314" t="s">
        <v>42</v>
      </c>
      <c r="E341" s="314"/>
      <c r="F341" s="314"/>
      <c r="G341" s="314"/>
      <c r="H341" s="316"/>
      <c r="I341" s="314"/>
      <c r="J341" s="314"/>
      <c r="K341" s="314"/>
      <c r="L341" s="314"/>
      <c r="M341" s="314"/>
      <c r="N341" s="314"/>
      <c r="O341" s="339"/>
    </row>
    <row r="342" spans="1:16" ht="14.25" customHeight="1">
      <c r="A342" s="190"/>
      <c r="B342" s="314" t="s">
        <v>1257</v>
      </c>
      <c r="C342" s="315">
        <v>7.97</v>
      </c>
      <c r="D342" s="314" t="s">
        <v>42</v>
      </c>
      <c r="E342" s="314"/>
      <c r="F342" s="314"/>
      <c r="G342" s="314"/>
      <c r="H342" s="314"/>
      <c r="I342" s="314"/>
      <c r="J342" s="314"/>
      <c r="K342" s="314"/>
      <c r="L342" s="314"/>
      <c r="M342" s="314"/>
      <c r="N342" s="314"/>
      <c r="O342" s="339"/>
    </row>
    <row r="343" spans="1:16" ht="14.25" customHeight="1">
      <c r="A343" s="190"/>
      <c r="B343" s="314"/>
      <c r="C343" s="314"/>
      <c r="D343" s="314"/>
      <c r="E343" s="314"/>
      <c r="F343" s="314"/>
      <c r="G343" s="314"/>
      <c r="H343" s="314"/>
      <c r="I343" s="314"/>
      <c r="J343" s="314"/>
      <c r="K343" s="314"/>
      <c r="L343" s="314"/>
      <c r="M343" s="314"/>
      <c r="N343" s="314"/>
      <c r="O343" s="339"/>
    </row>
    <row r="344" spans="1:16" ht="14.25" customHeight="1">
      <c r="A344" s="190"/>
      <c r="B344" s="191" t="s">
        <v>92</v>
      </c>
      <c r="C344" s="274">
        <f>SUM(C340:C342)</f>
        <v>1276.9000000000001</v>
      </c>
      <c r="D344" s="191" t="s">
        <v>117</v>
      </c>
      <c r="E344" s="193"/>
      <c r="G344" s="193"/>
      <c r="O344" s="339"/>
    </row>
    <row r="345" spans="1:16" ht="14.25" customHeight="1">
      <c r="A345" s="190"/>
      <c r="B345" s="191"/>
      <c r="C345" s="192"/>
      <c r="D345" s="191"/>
      <c r="E345" s="193"/>
      <c r="G345" s="193"/>
      <c r="O345" s="339"/>
    </row>
    <row r="346" spans="1:16">
      <c r="A346" s="245" t="s">
        <v>114</v>
      </c>
      <c r="B346" s="544" t="s">
        <v>118</v>
      </c>
      <c r="C346" s="550"/>
      <c r="D346" s="550"/>
      <c r="E346" s="550"/>
      <c r="F346" s="550"/>
      <c r="G346" s="550"/>
      <c r="H346" s="550"/>
      <c r="I346" s="550"/>
      <c r="J346" s="550"/>
      <c r="K346" s="550"/>
      <c r="L346" s="550"/>
      <c r="M346" s="550"/>
      <c r="N346" s="550"/>
      <c r="O346" s="252" t="s">
        <v>119</v>
      </c>
      <c r="P346" s="350" t="s">
        <v>74</v>
      </c>
    </row>
    <row r="347" spans="1:16" ht="14.25" customHeight="1">
      <c r="A347" s="190"/>
      <c r="C347" s="193"/>
      <c r="E347" s="193"/>
      <c r="G347" s="193"/>
      <c r="O347" s="339"/>
    </row>
    <row r="348" spans="1:16" ht="14.25" customHeight="1">
      <c r="A348" s="190"/>
      <c r="B348" s="314"/>
      <c r="C348" s="314" t="s">
        <v>77</v>
      </c>
      <c r="D348" s="314"/>
      <c r="E348" s="314"/>
      <c r="F348" s="314"/>
      <c r="G348" s="314"/>
      <c r="H348" s="314"/>
      <c r="I348" s="314"/>
      <c r="J348" s="314"/>
      <c r="K348" s="314"/>
      <c r="L348" s="314"/>
      <c r="M348" s="314"/>
      <c r="N348" s="314"/>
      <c r="O348" s="339"/>
    </row>
    <row r="349" spans="1:16" ht="14.25" customHeight="1">
      <c r="A349" s="190"/>
      <c r="B349" s="314" t="s">
        <v>350</v>
      </c>
      <c r="C349" s="315">
        <f>C344</f>
        <v>1276.9000000000001</v>
      </c>
      <c r="D349" s="314" t="s">
        <v>42</v>
      </c>
      <c r="E349" s="314"/>
      <c r="F349" s="314"/>
      <c r="G349" s="314"/>
      <c r="H349" s="314"/>
      <c r="I349" s="314"/>
      <c r="J349" s="314"/>
      <c r="K349" s="314"/>
      <c r="L349" s="314"/>
      <c r="M349" s="314"/>
      <c r="N349" s="314"/>
      <c r="O349" s="339"/>
    </row>
    <row r="350" spans="1:16" ht="14.25" customHeight="1">
      <c r="A350" s="190"/>
      <c r="B350" s="314"/>
      <c r="C350" s="314"/>
      <c r="D350" s="314"/>
      <c r="E350" s="314"/>
      <c r="F350" s="314"/>
      <c r="G350" s="314"/>
      <c r="H350" s="314"/>
      <c r="I350" s="314"/>
      <c r="J350" s="314"/>
      <c r="K350" s="314"/>
      <c r="L350" s="314"/>
      <c r="M350" s="314"/>
      <c r="N350" s="314"/>
      <c r="O350" s="339"/>
    </row>
    <row r="351" spans="1:16" ht="14.25" customHeight="1">
      <c r="A351" s="190"/>
      <c r="B351" s="191" t="str">
        <f>B344</f>
        <v>Total  =</v>
      </c>
      <c r="C351" s="274">
        <f>C349</f>
        <v>1276.9000000000001</v>
      </c>
      <c r="D351" s="191" t="s">
        <v>117</v>
      </c>
      <c r="E351" s="192"/>
      <c r="G351" s="193"/>
      <c r="O351" s="339"/>
    </row>
    <row r="352" spans="1:16" ht="14.25" customHeight="1">
      <c r="A352" s="190"/>
      <c r="C352" s="193"/>
      <c r="E352" s="193"/>
      <c r="G352" s="193"/>
      <c r="O352" s="339"/>
    </row>
    <row r="353" spans="1:33">
      <c r="A353" s="245" t="s">
        <v>344</v>
      </c>
      <c r="B353" s="544" t="s">
        <v>231</v>
      </c>
      <c r="C353" s="550"/>
      <c r="D353" s="550"/>
      <c r="E353" s="550"/>
      <c r="F353" s="550"/>
      <c r="G353" s="550"/>
      <c r="H353" s="550"/>
      <c r="I353" s="550"/>
      <c r="J353" s="550"/>
      <c r="K353" s="550"/>
      <c r="L353" s="550"/>
      <c r="M353" s="550"/>
      <c r="N353" s="550"/>
      <c r="O353" s="346">
        <v>94965</v>
      </c>
      <c r="P353" s="350"/>
    </row>
    <row r="354" spans="1:33" ht="14.25" customHeight="1">
      <c r="A354" s="190"/>
      <c r="C354" s="193"/>
      <c r="E354" s="193"/>
      <c r="G354" s="193"/>
      <c r="O354" s="339"/>
      <c r="Q354" s="317"/>
      <c r="R354" s="129"/>
      <c r="S354" s="129"/>
      <c r="T354" s="129"/>
      <c r="U354" s="129"/>
      <c r="V354" s="129"/>
      <c r="W354" s="129"/>
      <c r="X354" s="129"/>
      <c r="Y354" s="129"/>
      <c r="Z354" s="129"/>
      <c r="AA354" s="129"/>
      <c r="AB354" s="129"/>
      <c r="AC354" s="129"/>
      <c r="AD354" s="129"/>
      <c r="AE354" s="129"/>
      <c r="AF354" s="129"/>
      <c r="AG354" s="129"/>
    </row>
    <row r="355" spans="1:33" ht="14.25" customHeight="1">
      <c r="A355" s="312"/>
      <c r="B355" s="129"/>
      <c r="C355" s="193" t="s">
        <v>77</v>
      </c>
      <c r="E355" s="128" t="s">
        <v>96</v>
      </c>
      <c r="G355" s="128" t="s">
        <v>91</v>
      </c>
      <c r="I355" s="313"/>
      <c r="J355" s="129"/>
      <c r="K355" s="187"/>
      <c r="L355" s="187"/>
      <c r="M355" s="129"/>
      <c r="N355" s="129"/>
      <c r="O355" s="346"/>
      <c r="P355" s="360"/>
    </row>
    <row r="356" spans="1:33" ht="14.25" customHeight="1">
      <c r="A356" s="190"/>
      <c r="B356" s="314" t="s">
        <v>350</v>
      </c>
      <c r="C356" s="197">
        <f>C344</f>
        <v>1276.9000000000001</v>
      </c>
      <c r="D356" s="128" t="s">
        <v>103</v>
      </c>
      <c r="E356" s="193">
        <v>0.08</v>
      </c>
      <c r="F356" s="128" t="s">
        <v>79</v>
      </c>
      <c r="G356" s="193">
        <f>C356*E356</f>
        <v>102.15200000000002</v>
      </c>
      <c r="H356" s="128" t="s">
        <v>44</v>
      </c>
      <c r="O356" s="339"/>
      <c r="Q356" s="129"/>
      <c r="R356" s="129"/>
      <c r="S356" s="129"/>
      <c r="T356" s="129"/>
      <c r="U356" s="129"/>
      <c r="V356" s="129"/>
      <c r="W356" s="129"/>
      <c r="X356" s="129"/>
      <c r="Y356" s="129"/>
      <c r="Z356" s="129"/>
      <c r="AA356" s="129"/>
      <c r="AB356" s="129"/>
      <c r="AC356" s="129"/>
      <c r="AD356" s="129"/>
      <c r="AE356" s="129"/>
      <c r="AF356" s="129"/>
      <c r="AG356" s="129"/>
    </row>
    <row r="357" spans="1:33" ht="14.25" customHeight="1">
      <c r="A357" s="190"/>
      <c r="B357" s="314"/>
      <c r="C357" s="197"/>
      <c r="E357" s="193"/>
      <c r="G357" s="193"/>
      <c r="O357" s="339"/>
      <c r="Q357" s="129"/>
      <c r="R357" s="129"/>
      <c r="S357" s="129"/>
      <c r="T357" s="129"/>
      <c r="U357" s="129"/>
      <c r="V357" s="129"/>
      <c r="W357" s="129"/>
      <c r="X357" s="129"/>
      <c r="Y357" s="129"/>
      <c r="Z357" s="129"/>
      <c r="AA357" s="129"/>
      <c r="AB357" s="129"/>
      <c r="AC357" s="129"/>
      <c r="AD357" s="129"/>
      <c r="AE357" s="129"/>
      <c r="AF357" s="129"/>
      <c r="AG357" s="129"/>
    </row>
    <row r="358" spans="1:33" ht="14.25" customHeight="1">
      <c r="A358" s="312"/>
      <c r="B358" s="200" t="s">
        <v>92</v>
      </c>
      <c r="C358" s="318">
        <f>G356</f>
        <v>102.15200000000002</v>
      </c>
      <c r="D358" s="200" t="s">
        <v>44</v>
      </c>
      <c r="E358" s="187"/>
      <c r="F358" s="187"/>
      <c r="G358" s="313"/>
      <c r="H358" s="129"/>
      <c r="I358" s="313"/>
      <c r="J358" s="129"/>
      <c r="K358" s="187"/>
      <c r="L358" s="187"/>
      <c r="M358" s="129"/>
      <c r="N358" s="129"/>
      <c r="O358" s="346"/>
      <c r="P358" s="360"/>
      <c r="Q358" s="317"/>
    </row>
    <row r="359" spans="1:33" ht="14.25" customHeight="1">
      <c r="A359" s="199"/>
      <c r="C359" s="193"/>
      <c r="E359" s="193"/>
      <c r="G359" s="193"/>
      <c r="I359" s="129"/>
      <c r="J359" s="187"/>
      <c r="K359" s="129"/>
      <c r="L359" s="129"/>
      <c r="M359" s="129"/>
      <c r="N359" s="129"/>
      <c r="O359" s="358"/>
      <c r="P359" s="347"/>
      <c r="Q359" s="317"/>
      <c r="R359" s="129"/>
      <c r="S359" s="129"/>
      <c r="T359" s="129"/>
      <c r="U359" s="129"/>
      <c r="V359" s="129"/>
      <c r="W359" s="129"/>
      <c r="X359" s="129"/>
      <c r="Y359" s="129"/>
      <c r="Z359" s="129"/>
      <c r="AA359" s="129"/>
      <c r="AB359" s="129"/>
      <c r="AC359" s="129"/>
      <c r="AD359" s="129"/>
      <c r="AE359" s="129"/>
      <c r="AF359" s="129"/>
      <c r="AG359" s="129"/>
    </row>
    <row r="360" spans="1:33" ht="15" customHeight="1">
      <c r="A360" s="245" t="s">
        <v>345</v>
      </c>
      <c r="B360" s="559" t="s">
        <v>917</v>
      </c>
      <c r="C360" s="550"/>
      <c r="D360" s="550"/>
      <c r="E360" s="550"/>
      <c r="F360" s="550"/>
      <c r="G360" s="550"/>
      <c r="H360" s="550"/>
      <c r="I360" s="550"/>
      <c r="J360" s="550"/>
      <c r="K360" s="550"/>
      <c r="L360" s="550"/>
      <c r="M360" s="550"/>
      <c r="N360" s="550"/>
      <c r="O360" s="346">
        <v>43618</v>
      </c>
      <c r="P360" s="350" t="s">
        <v>916</v>
      </c>
    </row>
    <row r="361" spans="1:33" ht="14.25" customHeight="1">
      <c r="A361" s="190"/>
      <c r="C361" s="193"/>
      <c r="E361" s="193"/>
      <c r="G361" s="193"/>
      <c r="O361" s="339"/>
    </row>
    <row r="362" spans="1:33" ht="14.25" customHeight="1">
      <c r="A362" s="312"/>
      <c r="C362" s="193" t="s">
        <v>91</v>
      </c>
      <c r="G362" s="129"/>
      <c r="H362" s="129"/>
      <c r="I362" s="129"/>
      <c r="J362" s="129"/>
      <c r="M362" s="129"/>
      <c r="N362" s="129"/>
      <c r="O362" s="346"/>
      <c r="P362" s="360"/>
    </row>
    <row r="363" spans="1:33" ht="14.25" customHeight="1">
      <c r="A363" s="190"/>
      <c r="B363" s="314" t="s">
        <v>350</v>
      </c>
      <c r="C363" s="193">
        <f>(C358*3.7313)*0.8</f>
        <v>304.9278060800001</v>
      </c>
      <c r="D363" s="128" t="s">
        <v>102</v>
      </c>
      <c r="E363" s="193"/>
      <c r="G363" s="193"/>
      <c r="I363" s="193"/>
      <c r="K363" s="193"/>
      <c r="O363" s="339"/>
    </row>
    <row r="364" spans="1:33" ht="14.25" customHeight="1">
      <c r="A364" s="190"/>
      <c r="C364" s="193"/>
      <c r="E364" s="193"/>
      <c r="G364" s="193"/>
      <c r="I364" s="193"/>
      <c r="K364" s="193"/>
      <c r="O364" s="339"/>
      <c r="Q364" s="317"/>
    </row>
    <row r="365" spans="1:33" ht="14.25" customHeight="1">
      <c r="A365" s="312"/>
      <c r="B365" s="200" t="s">
        <v>92</v>
      </c>
      <c r="C365" s="318">
        <f>C363</f>
        <v>304.9278060800001</v>
      </c>
      <c r="D365" s="200" t="s">
        <v>102</v>
      </c>
      <c r="E365" s="187"/>
      <c r="F365" s="187"/>
      <c r="G365" s="313"/>
      <c r="H365" s="129"/>
      <c r="I365" s="313"/>
      <c r="J365" s="129"/>
      <c r="K365" s="187"/>
      <c r="L365" s="187"/>
      <c r="M365" s="129"/>
      <c r="N365" s="129"/>
      <c r="O365" s="346"/>
      <c r="P365" s="360"/>
      <c r="Q365" s="317"/>
    </row>
    <row r="366" spans="1:33" ht="14.25" customHeight="1">
      <c r="A366" s="312"/>
      <c r="B366" s="187"/>
      <c r="C366" s="187"/>
      <c r="D366" s="187"/>
      <c r="E366" s="187"/>
      <c r="F366" s="187"/>
      <c r="G366" s="313"/>
      <c r="H366" s="129"/>
      <c r="I366" s="313"/>
      <c r="J366" s="129"/>
      <c r="K366" s="187"/>
      <c r="L366" s="187"/>
      <c r="M366" s="129"/>
      <c r="N366" s="129"/>
      <c r="O366" s="346"/>
      <c r="P366" s="360"/>
      <c r="R366" s="129"/>
      <c r="S366" s="129"/>
      <c r="T366" s="129"/>
      <c r="U366" s="129"/>
      <c r="V366" s="129"/>
      <c r="W366" s="129"/>
      <c r="X366" s="129"/>
      <c r="Y366" s="129"/>
      <c r="Z366" s="129"/>
      <c r="AA366" s="129"/>
      <c r="AB366" s="129"/>
      <c r="AC366" s="129"/>
      <c r="AD366" s="129"/>
      <c r="AE366" s="129"/>
      <c r="AF366" s="129"/>
      <c r="AG366" s="129"/>
    </row>
    <row r="367" spans="1:33" ht="15" customHeight="1">
      <c r="A367" s="245" t="s">
        <v>346</v>
      </c>
      <c r="B367" s="559" t="s">
        <v>324</v>
      </c>
      <c r="C367" s="550"/>
      <c r="D367" s="550"/>
      <c r="E367" s="550"/>
      <c r="F367" s="550"/>
      <c r="G367" s="550"/>
      <c r="H367" s="550"/>
      <c r="I367" s="550"/>
      <c r="J367" s="550"/>
      <c r="K367" s="550"/>
      <c r="L367" s="550"/>
      <c r="M367" s="550"/>
      <c r="N367" s="550"/>
      <c r="O367" s="346">
        <v>94966</v>
      </c>
      <c r="P367" s="350"/>
    </row>
    <row r="368" spans="1:33" ht="14.25" customHeight="1">
      <c r="A368" s="190"/>
      <c r="C368" s="193"/>
      <c r="E368" s="193"/>
      <c r="G368" s="193"/>
      <c r="O368" s="339"/>
    </row>
    <row r="369" spans="1:33" ht="14.25" customHeight="1">
      <c r="A369" s="312"/>
      <c r="C369" s="193" t="s">
        <v>91</v>
      </c>
      <c r="G369" s="129"/>
      <c r="H369" s="129"/>
      <c r="I369" s="129"/>
      <c r="J369" s="129"/>
      <c r="M369" s="129"/>
      <c r="N369" s="129"/>
      <c r="O369" s="346"/>
      <c r="P369" s="360"/>
    </row>
    <row r="370" spans="1:33" ht="14.25" customHeight="1">
      <c r="A370" s="199"/>
      <c r="B370" s="128" t="s">
        <v>327</v>
      </c>
      <c r="C370" s="193">
        <v>0.51</v>
      </c>
      <c r="D370" s="128" t="s">
        <v>44</v>
      </c>
      <c r="E370" s="193"/>
      <c r="G370" s="193"/>
      <c r="I370" s="193"/>
      <c r="K370" s="193"/>
      <c r="O370" s="339"/>
    </row>
    <row r="371" spans="1:33" ht="14.25" customHeight="1">
      <c r="A371" s="312"/>
      <c r="C371" s="193"/>
      <c r="E371" s="193"/>
      <c r="G371" s="193"/>
      <c r="I371" s="193"/>
      <c r="K371" s="193"/>
      <c r="O371" s="339"/>
      <c r="Q371" s="317"/>
    </row>
    <row r="372" spans="1:33" ht="14.25" customHeight="1">
      <c r="A372" s="199"/>
      <c r="B372" s="200" t="s">
        <v>92</v>
      </c>
      <c r="C372" s="318">
        <f>C370</f>
        <v>0.51</v>
      </c>
      <c r="D372" s="200" t="s">
        <v>44</v>
      </c>
      <c r="E372" s="187"/>
      <c r="F372" s="187"/>
      <c r="G372" s="313"/>
      <c r="H372" s="129"/>
      <c r="I372" s="313"/>
      <c r="J372" s="129"/>
      <c r="K372" s="187"/>
      <c r="L372" s="187"/>
      <c r="M372" s="129"/>
      <c r="N372" s="129"/>
      <c r="O372" s="346"/>
      <c r="P372" s="360"/>
      <c r="Q372" s="317"/>
    </row>
    <row r="373" spans="1:33" ht="14.25" customHeight="1">
      <c r="A373" s="199"/>
      <c r="B373" s="187"/>
      <c r="C373" s="187"/>
      <c r="D373" s="187"/>
      <c r="E373" s="187"/>
      <c r="F373" s="187"/>
      <c r="G373" s="313"/>
      <c r="H373" s="129"/>
      <c r="I373" s="313"/>
      <c r="J373" s="129"/>
      <c r="K373" s="187"/>
      <c r="L373" s="187"/>
      <c r="M373" s="129"/>
      <c r="N373" s="129"/>
      <c r="O373" s="346"/>
      <c r="P373" s="360"/>
      <c r="R373" s="129"/>
      <c r="S373" s="129"/>
      <c r="T373" s="129"/>
      <c r="U373" s="129"/>
      <c r="V373" s="129"/>
      <c r="W373" s="129"/>
      <c r="X373" s="129"/>
      <c r="Y373" s="129"/>
      <c r="Z373" s="129"/>
      <c r="AA373" s="129"/>
      <c r="AB373" s="129"/>
      <c r="AC373" s="129"/>
      <c r="AD373" s="129"/>
      <c r="AE373" s="129"/>
      <c r="AF373" s="129"/>
      <c r="AG373" s="129"/>
    </row>
    <row r="374" spans="1:33">
      <c r="A374" s="245" t="s">
        <v>347</v>
      </c>
      <c r="B374" s="544" t="s">
        <v>100</v>
      </c>
      <c r="C374" s="550"/>
      <c r="D374" s="550"/>
      <c r="E374" s="550"/>
      <c r="F374" s="550"/>
      <c r="G374" s="550"/>
      <c r="H374" s="550"/>
      <c r="I374" s="550"/>
      <c r="J374" s="550"/>
      <c r="K374" s="550"/>
      <c r="L374" s="550"/>
      <c r="M374" s="550"/>
      <c r="N374" s="550"/>
      <c r="O374" s="339">
        <v>103670</v>
      </c>
      <c r="R374" s="129"/>
      <c r="S374" s="129"/>
      <c r="T374" s="129"/>
      <c r="U374" s="129"/>
      <c r="V374" s="129"/>
      <c r="W374" s="129"/>
      <c r="X374" s="129"/>
      <c r="Y374" s="129"/>
      <c r="Z374" s="129"/>
      <c r="AA374" s="129"/>
      <c r="AB374" s="129"/>
      <c r="AC374" s="129"/>
      <c r="AD374" s="129"/>
      <c r="AE374" s="129"/>
      <c r="AF374" s="129"/>
      <c r="AG374" s="129"/>
    </row>
    <row r="375" spans="1:33" ht="14.25" customHeight="1">
      <c r="A375" s="194"/>
      <c r="C375" s="193"/>
      <c r="E375" s="193"/>
      <c r="G375" s="193"/>
      <c r="O375" s="339"/>
      <c r="Q375" s="317"/>
      <c r="R375" s="129"/>
      <c r="S375" s="129"/>
      <c r="T375" s="129"/>
      <c r="U375" s="129"/>
      <c r="V375" s="129"/>
      <c r="W375" s="129"/>
      <c r="X375" s="129"/>
      <c r="Y375" s="129"/>
      <c r="Z375" s="129"/>
      <c r="AA375" s="129"/>
      <c r="AB375" s="129"/>
      <c r="AC375" s="129"/>
      <c r="AD375" s="129"/>
      <c r="AE375" s="129"/>
      <c r="AF375" s="129"/>
      <c r="AG375" s="129"/>
    </row>
    <row r="376" spans="1:33" ht="14.25" customHeight="1">
      <c r="A376" s="190"/>
      <c r="C376" s="193" t="s">
        <v>91</v>
      </c>
      <c r="I376" s="313"/>
      <c r="J376" s="129"/>
      <c r="K376" s="187"/>
      <c r="L376" s="187"/>
      <c r="M376" s="129"/>
      <c r="N376" s="129"/>
      <c r="O376" s="346"/>
      <c r="P376" s="360"/>
      <c r="Q376" s="129"/>
      <c r="R376" s="129"/>
      <c r="S376" s="129"/>
      <c r="T376" s="129"/>
      <c r="U376" s="129"/>
      <c r="V376" s="129"/>
      <c r="W376" s="129"/>
      <c r="X376" s="129"/>
      <c r="Y376" s="129"/>
      <c r="Z376" s="129"/>
      <c r="AA376" s="129"/>
      <c r="AB376" s="129"/>
      <c r="AC376" s="129"/>
      <c r="AD376" s="129"/>
      <c r="AE376" s="129"/>
      <c r="AF376" s="129"/>
      <c r="AG376" s="129"/>
    </row>
    <row r="377" spans="1:33" ht="14.25" customHeight="1">
      <c r="A377" s="190"/>
      <c r="B377" s="314" t="s">
        <v>350</v>
      </c>
      <c r="C377" s="197">
        <f>G356</f>
        <v>102.15200000000002</v>
      </c>
      <c r="D377" s="128" t="s">
        <v>44</v>
      </c>
      <c r="E377" s="193"/>
      <c r="G377" s="193"/>
      <c r="I377" s="129"/>
      <c r="J377" s="187"/>
      <c r="K377" s="129"/>
      <c r="L377" s="129"/>
      <c r="M377" s="129"/>
      <c r="N377" s="129"/>
      <c r="O377" s="358"/>
      <c r="P377" s="347"/>
      <c r="Q377" s="317"/>
      <c r="R377" s="129"/>
      <c r="S377" s="129"/>
      <c r="T377" s="129"/>
      <c r="U377" s="129"/>
      <c r="V377" s="129"/>
      <c r="W377" s="129"/>
      <c r="X377" s="129"/>
      <c r="Y377" s="129"/>
      <c r="Z377" s="129"/>
      <c r="AA377" s="129"/>
      <c r="AB377" s="129"/>
      <c r="AC377" s="129"/>
      <c r="AD377" s="129"/>
      <c r="AE377" s="129"/>
      <c r="AF377" s="129"/>
      <c r="AG377" s="129"/>
    </row>
    <row r="378" spans="1:33" ht="14.25" customHeight="1">
      <c r="A378" s="190"/>
      <c r="B378" s="128" t="s">
        <v>327</v>
      </c>
      <c r="C378" s="193">
        <f>C372</f>
        <v>0.51</v>
      </c>
      <c r="D378" s="128" t="s">
        <v>44</v>
      </c>
      <c r="I378" s="313"/>
      <c r="J378" s="129"/>
      <c r="K378" s="187"/>
      <c r="L378" s="187"/>
      <c r="M378" s="129"/>
      <c r="N378" s="129"/>
      <c r="O378" s="346"/>
      <c r="P378" s="360"/>
      <c r="Q378" s="129"/>
      <c r="R378" s="129"/>
      <c r="S378" s="129"/>
      <c r="T378" s="129"/>
      <c r="U378" s="129"/>
      <c r="V378" s="129"/>
      <c r="W378" s="129"/>
      <c r="X378" s="129"/>
      <c r="Y378" s="129"/>
      <c r="Z378" s="129"/>
      <c r="AA378" s="129"/>
      <c r="AB378" s="129"/>
      <c r="AC378" s="129"/>
      <c r="AD378" s="129"/>
      <c r="AE378" s="129"/>
      <c r="AF378" s="129"/>
      <c r="AG378" s="129"/>
    </row>
    <row r="379" spans="1:33" ht="14.25" customHeight="1">
      <c r="A379" s="290"/>
      <c r="C379" s="193"/>
      <c r="E379" s="193"/>
      <c r="G379" s="129"/>
      <c r="H379" s="129"/>
      <c r="I379" s="193"/>
      <c r="K379" s="129"/>
      <c r="L379" s="129"/>
      <c r="M379" s="129"/>
      <c r="N379" s="129"/>
      <c r="O379" s="358"/>
      <c r="P379" s="347"/>
      <c r="Q379" s="129"/>
      <c r="R379" s="129"/>
      <c r="S379" s="129"/>
      <c r="T379" s="129"/>
      <c r="U379" s="129"/>
      <c r="V379" s="129"/>
      <c r="W379" s="129"/>
      <c r="X379" s="129"/>
      <c r="Y379" s="129"/>
      <c r="Z379" s="129"/>
      <c r="AA379" s="129"/>
      <c r="AB379" s="129"/>
      <c r="AC379" s="129"/>
      <c r="AD379" s="129"/>
      <c r="AE379" s="129"/>
      <c r="AF379" s="129"/>
      <c r="AG379" s="129"/>
    </row>
    <row r="380" spans="1:33" ht="14.25" customHeight="1">
      <c r="A380" s="290"/>
      <c r="B380" s="191" t="s">
        <v>92</v>
      </c>
      <c r="C380" s="274">
        <f>SUM(C377:C378)</f>
        <v>102.66200000000002</v>
      </c>
      <c r="D380" s="191" t="s">
        <v>44</v>
      </c>
      <c r="E380" s="193"/>
      <c r="G380" s="193"/>
      <c r="I380" s="129"/>
      <c r="J380" s="187"/>
      <c r="K380" s="129"/>
      <c r="L380" s="129"/>
      <c r="M380" s="129"/>
      <c r="N380" s="129"/>
      <c r="O380" s="358"/>
      <c r="P380" s="347"/>
      <c r="Q380" s="317"/>
      <c r="R380" s="129"/>
      <c r="S380" s="129"/>
      <c r="T380" s="129"/>
      <c r="U380" s="129"/>
      <c r="V380" s="129"/>
      <c r="W380" s="129"/>
      <c r="X380" s="129"/>
      <c r="Y380" s="129"/>
      <c r="Z380" s="129"/>
      <c r="AA380" s="129"/>
      <c r="AB380" s="129"/>
      <c r="AC380" s="129"/>
      <c r="AD380" s="129"/>
      <c r="AE380" s="129"/>
      <c r="AF380" s="129"/>
      <c r="AG380" s="129"/>
    </row>
    <row r="381" spans="1:33" ht="14.25" customHeight="1">
      <c r="A381" s="312"/>
      <c r="B381" s="187"/>
      <c r="C381" s="187"/>
      <c r="D381" s="187"/>
      <c r="E381" s="187"/>
      <c r="F381" s="187"/>
      <c r="G381" s="313"/>
      <c r="H381" s="129"/>
      <c r="I381" s="313"/>
      <c r="J381" s="129"/>
      <c r="K381" s="187"/>
      <c r="L381" s="187"/>
      <c r="M381" s="129"/>
      <c r="N381" s="129"/>
      <c r="O381" s="346"/>
      <c r="P381" s="360"/>
      <c r="R381" s="129"/>
      <c r="S381" s="129"/>
      <c r="T381" s="129"/>
      <c r="U381" s="129"/>
      <c r="V381" s="129"/>
      <c r="W381" s="129"/>
      <c r="X381" s="129"/>
      <c r="Y381" s="129"/>
      <c r="Z381" s="129"/>
      <c r="AA381" s="129"/>
      <c r="AB381" s="129"/>
      <c r="AC381" s="129"/>
      <c r="AD381" s="129"/>
      <c r="AE381" s="129"/>
      <c r="AF381" s="129"/>
      <c r="AG381" s="129"/>
    </row>
    <row r="382" spans="1:33">
      <c r="A382" s="244" t="s">
        <v>348</v>
      </c>
      <c r="B382" s="544" t="s">
        <v>122</v>
      </c>
      <c r="C382" s="550"/>
      <c r="D382" s="550"/>
      <c r="E382" s="550"/>
      <c r="F382" s="550"/>
      <c r="G382" s="550"/>
      <c r="H382" s="550"/>
      <c r="I382" s="550"/>
      <c r="J382" s="550"/>
      <c r="K382" s="550"/>
      <c r="L382" s="550"/>
      <c r="M382" s="550"/>
      <c r="N382" s="550"/>
      <c r="O382" s="339">
        <v>91603</v>
      </c>
      <c r="R382" s="129"/>
      <c r="S382" s="129"/>
      <c r="T382" s="129"/>
      <c r="U382" s="129"/>
      <c r="V382" s="129"/>
      <c r="W382" s="129"/>
      <c r="X382" s="129"/>
      <c r="Y382" s="129"/>
      <c r="Z382" s="129"/>
      <c r="AA382" s="129"/>
      <c r="AB382" s="129"/>
      <c r="AC382" s="129"/>
      <c r="AD382" s="129"/>
      <c r="AE382" s="129"/>
      <c r="AF382" s="129"/>
      <c r="AG382" s="129"/>
    </row>
    <row r="383" spans="1:33" ht="14.25" customHeight="1">
      <c r="A383" s="319"/>
      <c r="B383" s="246"/>
      <c r="C383" s="246"/>
      <c r="D383" s="246"/>
      <c r="E383" s="246"/>
      <c r="F383" s="246"/>
      <c r="G383" s="246"/>
      <c r="H383" s="246"/>
      <c r="I383" s="246"/>
      <c r="J383" s="246"/>
      <c r="K383" s="246"/>
      <c r="L383" s="246"/>
      <c r="M383" s="246"/>
      <c r="N383" s="246"/>
      <c r="O383" s="339"/>
    </row>
    <row r="384" spans="1:33" ht="14.25" customHeight="1">
      <c r="A384" s="320"/>
      <c r="B384" s="314"/>
      <c r="C384" s="193" t="s">
        <v>101</v>
      </c>
      <c r="D384" s="314"/>
      <c r="E384" s="314"/>
      <c r="F384" s="314"/>
      <c r="G384" s="314"/>
      <c r="H384" s="314"/>
      <c r="I384" s="314"/>
      <c r="J384" s="314"/>
      <c r="K384" s="314"/>
      <c r="L384" s="314"/>
      <c r="M384" s="314"/>
      <c r="N384" s="314"/>
      <c r="O384" s="339"/>
    </row>
    <row r="385" spans="1:33" ht="14.25" customHeight="1">
      <c r="A385" s="320"/>
      <c r="B385" s="314" t="s">
        <v>350</v>
      </c>
      <c r="C385" s="197">
        <f>C344*1.05</f>
        <v>1340.7450000000001</v>
      </c>
      <c r="D385" s="314" t="s">
        <v>102</v>
      </c>
      <c r="E385" s="314"/>
      <c r="F385" s="314"/>
      <c r="G385" s="314"/>
      <c r="H385" s="314"/>
      <c r="I385" s="314"/>
      <c r="J385" s="314"/>
      <c r="K385" s="314"/>
      <c r="L385" s="314"/>
      <c r="M385" s="314"/>
      <c r="N385" s="314"/>
      <c r="O385" s="339"/>
    </row>
    <row r="386" spans="1:33" ht="14.25" customHeight="1">
      <c r="A386" s="320"/>
      <c r="B386" s="314"/>
      <c r="C386" s="193"/>
      <c r="D386" s="314"/>
      <c r="E386" s="314"/>
      <c r="F386" s="314"/>
      <c r="G386" s="314"/>
      <c r="H386" s="314"/>
      <c r="I386" s="314"/>
      <c r="J386" s="314"/>
      <c r="K386" s="314"/>
      <c r="L386" s="314"/>
      <c r="M386" s="314"/>
      <c r="N386" s="314"/>
      <c r="O386" s="339"/>
    </row>
    <row r="387" spans="1:33" ht="14.25" customHeight="1">
      <c r="A387" s="321"/>
      <c r="B387" s="192" t="s">
        <v>92</v>
      </c>
      <c r="C387" s="274">
        <f>C385</f>
        <v>1340.7450000000001</v>
      </c>
      <c r="D387" s="191" t="s">
        <v>102</v>
      </c>
      <c r="E387" s="193"/>
      <c r="G387" s="193"/>
      <c r="I387" s="193"/>
      <c r="O387" s="339"/>
      <c r="Q387" s="317"/>
      <c r="R387" s="129"/>
      <c r="S387" s="129"/>
      <c r="T387" s="129"/>
      <c r="U387" s="129"/>
      <c r="V387" s="129"/>
      <c r="W387" s="129"/>
      <c r="X387" s="129"/>
      <c r="Y387" s="129"/>
      <c r="Z387" s="129"/>
      <c r="AA387" s="129"/>
      <c r="AB387" s="129"/>
      <c r="AC387" s="129"/>
      <c r="AD387" s="129"/>
      <c r="AE387" s="129"/>
      <c r="AF387" s="129"/>
      <c r="AG387" s="129"/>
    </row>
    <row r="388" spans="1:33" ht="14.25" customHeight="1">
      <c r="A388" s="312"/>
      <c r="B388" s="187"/>
      <c r="C388" s="187"/>
      <c r="D388" s="187"/>
      <c r="E388" s="187"/>
      <c r="F388" s="187"/>
      <c r="G388" s="313"/>
      <c r="H388" s="129"/>
      <c r="I388" s="313"/>
      <c r="J388" s="129"/>
      <c r="K388" s="187"/>
      <c r="L388" s="187"/>
      <c r="M388" s="129"/>
      <c r="N388" s="129"/>
      <c r="O388" s="346"/>
      <c r="P388" s="360"/>
      <c r="R388" s="129"/>
      <c r="S388" s="129"/>
      <c r="T388" s="129"/>
      <c r="U388" s="129"/>
      <c r="V388" s="129"/>
      <c r="W388" s="129"/>
      <c r="X388" s="129"/>
      <c r="Y388" s="129"/>
      <c r="Z388" s="129"/>
      <c r="AA388" s="129"/>
      <c r="AB388" s="129"/>
      <c r="AC388" s="129"/>
      <c r="AD388" s="129"/>
      <c r="AE388" s="129"/>
      <c r="AF388" s="129"/>
      <c r="AG388" s="129"/>
    </row>
    <row r="389" spans="1:33" s="175" customFormat="1">
      <c r="A389" s="244" t="s">
        <v>349</v>
      </c>
      <c r="B389" s="577" t="s">
        <v>262</v>
      </c>
      <c r="C389" s="577"/>
      <c r="D389" s="577"/>
      <c r="E389" s="577"/>
      <c r="F389" s="577"/>
      <c r="G389" s="577"/>
      <c r="H389" s="577"/>
      <c r="I389" s="577"/>
      <c r="J389" s="577"/>
      <c r="K389" s="577"/>
      <c r="L389" s="577"/>
      <c r="M389" s="577"/>
      <c r="N389" s="577"/>
      <c r="O389" s="348">
        <v>92267</v>
      </c>
      <c r="P389" s="361"/>
    </row>
    <row r="390" spans="1:33" s="175" customFormat="1" ht="14.25" customHeight="1">
      <c r="A390" s="319"/>
      <c r="C390" s="248"/>
      <c r="E390" s="248"/>
      <c r="G390" s="248"/>
      <c r="O390" s="348"/>
      <c r="P390" s="349"/>
      <c r="Q390" s="289"/>
    </row>
    <row r="391" spans="1:33" s="175" customFormat="1" ht="14.25" customHeight="1">
      <c r="A391" s="320"/>
      <c r="C391" s="248" t="s">
        <v>77</v>
      </c>
      <c r="I391" s="248"/>
      <c r="J391" s="248"/>
      <c r="M391" s="304"/>
      <c r="N391" s="289"/>
      <c r="O391" s="362"/>
      <c r="P391" s="349"/>
      <c r="Q391" s="289"/>
    </row>
    <row r="392" spans="1:33" s="175" customFormat="1" ht="14.25" customHeight="1">
      <c r="A392" s="320"/>
      <c r="B392" s="175" t="s">
        <v>327</v>
      </c>
      <c r="C392" s="248">
        <v>6.2</v>
      </c>
      <c r="D392" s="175" t="s">
        <v>42</v>
      </c>
      <c r="I392" s="248"/>
      <c r="J392" s="248"/>
      <c r="M392" s="304"/>
      <c r="N392" s="289"/>
      <c r="O392" s="362"/>
      <c r="P392" s="349"/>
      <c r="Q392" s="289"/>
    </row>
    <row r="393" spans="1:33" s="175" customFormat="1" ht="15" customHeight="1">
      <c r="A393" s="320"/>
      <c r="C393" s="248"/>
      <c r="I393" s="248"/>
      <c r="J393" s="248"/>
      <c r="M393" s="304"/>
      <c r="N393" s="289"/>
      <c r="O393" s="362"/>
      <c r="P393" s="349"/>
    </row>
    <row r="394" spans="1:33" s="175" customFormat="1" ht="14.25" customHeight="1">
      <c r="A394" s="321"/>
      <c r="B394" s="310" t="s">
        <v>92</v>
      </c>
      <c r="C394" s="322">
        <f>C392</f>
        <v>6.2</v>
      </c>
      <c r="D394" s="323" t="s">
        <v>42</v>
      </c>
      <c r="G394" s="248"/>
      <c r="J394" s="248"/>
      <c r="O394" s="362"/>
      <c r="P394" s="362"/>
    </row>
    <row r="395" spans="1:33" ht="14.25" customHeight="1">
      <c r="A395" s="312"/>
      <c r="B395" s="187"/>
      <c r="C395" s="187"/>
      <c r="D395" s="187"/>
      <c r="E395" s="187"/>
      <c r="F395" s="187"/>
      <c r="G395" s="313"/>
      <c r="H395" s="129"/>
      <c r="I395" s="313"/>
      <c r="J395" s="129"/>
      <c r="K395" s="187"/>
      <c r="L395" s="187"/>
      <c r="M395" s="129"/>
      <c r="N395" s="129"/>
      <c r="O395" s="346"/>
      <c r="P395" s="360"/>
    </row>
    <row r="396" spans="1:33" s="175" customFormat="1">
      <c r="A396" s="244" t="s">
        <v>352</v>
      </c>
      <c r="B396" s="577" t="s">
        <v>499</v>
      </c>
      <c r="C396" s="577"/>
      <c r="D396" s="577"/>
      <c r="E396" s="577"/>
      <c r="F396" s="577"/>
      <c r="G396" s="577"/>
      <c r="H396" s="577"/>
      <c r="I396" s="577"/>
      <c r="J396" s="577"/>
      <c r="K396" s="577"/>
      <c r="L396" s="577"/>
      <c r="M396" s="577"/>
      <c r="N396" s="577"/>
      <c r="O396" s="348">
        <v>98546</v>
      </c>
      <c r="P396" s="361"/>
    </row>
    <row r="397" spans="1:33" s="175" customFormat="1" ht="14.25" customHeight="1">
      <c r="A397" s="319"/>
      <c r="C397" s="248"/>
      <c r="E397" s="248"/>
      <c r="G397" s="248"/>
      <c r="O397" s="348"/>
      <c r="P397" s="349"/>
      <c r="Q397" s="289"/>
    </row>
    <row r="398" spans="1:33" s="175" customFormat="1" ht="14.25" customHeight="1">
      <c r="A398" s="320"/>
      <c r="C398" s="248" t="s">
        <v>75</v>
      </c>
      <c r="E398" s="175" t="s">
        <v>86</v>
      </c>
      <c r="G398" s="175" t="s">
        <v>77</v>
      </c>
      <c r="I398" s="248"/>
      <c r="J398" s="248"/>
      <c r="M398" s="304"/>
      <c r="N398" s="289"/>
      <c r="O398" s="362"/>
      <c r="P398" s="349"/>
      <c r="Q398" s="289"/>
    </row>
    <row r="399" spans="1:33" s="175" customFormat="1" ht="14.25" customHeight="1">
      <c r="A399" s="320"/>
      <c r="B399" s="175" t="s">
        <v>327</v>
      </c>
      <c r="C399" s="248">
        <v>4.1500000000000004</v>
      </c>
      <c r="D399" s="175" t="s">
        <v>78</v>
      </c>
      <c r="E399" s="248">
        <v>1.24</v>
      </c>
      <c r="F399" s="175" t="s">
        <v>79</v>
      </c>
      <c r="G399" s="248">
        <f>C399*E399</f>
        <v>5.1460000000000008</v>
      </c>
      <c r="H399" s="175" t="s">
        <v>42</v>
      </c>
      <c r="I399" s="248"/>
      <c r="J399" s="248"/>
      <c r="M399" s="304"/>
      <c r="N399" s="289"/>
      <c r="O399" s="362"/>
      <c r="P399" s="349"/>
      <c r="Q399" s="289"/>
    </row>
    <row r="400" spans="1:33" s="175" customFormat="1" ht="15" customHeight="1">
      <c r="A400" s="320"/>
      <c r="C400" s="248"/>
      <c r="I400" s="248"/>
      <c r="J400" s="248"/>
      <c r="M400" s="304"/>
      <c r="N400" s="289"/>
      <c r="O400" s="362"/>
      <c r="P400" s="349"/>
    </row>
    <row r="401" spans="1:17" s="175" customFormat="1" ht="14.25" customHeight="1">
      <c r="A401" s="321"/>
      <c r="B401" s="310" t="s">
        <v>92</v>
      </c>
      <c r="C401" s="322">
        <f>G399</f>
        <v>5.1460000000000008</v>
      </c>
      <c r="D401" s="323" t="s">
        <v>42</v>
      </c>
      <c r="G401" s="248"/>
      <c r="J401" s="248"/>
      <c r="O401" s="362"/>
      <c r="P401" s="362"/>
    </row>
    <row r="402" spans="1:17" ht="14.25" customHeight="1">
      <c r="A402" s="312"/>
      <c r="B402" s="187"/>
      <c r="C402" s="187"/>
      <c r="D402" s="187"/>
      <c r="E402" s="187"/>
      <c r="F402" s="187"/>
      <c r="G402" s="313"/>
      <c r="H402" s="129"/>
      <c r="I402" s="313"/>
      <c r="J402" s="129"/>
      <c r="K402" s="187"/>
      <c r="L402" s="187"/>
      <c r="M402" s="129"/>
      <c r="N402" s="129"/>
      <c r="O402" s="346"/>
      <c r="P402" s="360"/>
    </row>
    <row r="403" spans="1:17" s="175" customFormat="1">
      <c r="A403" s="244" t="s">
        <v>353</v>
      </c>
      <c r="B403" s="577" t="s">
        <v>500</v>
      </c>
      <c r="C403" s="577"/>
      <c r="D403" s="577"/>
      <c r="E403" s="577"/>
      <c r="F403" s="577"/>
      <c r="G403" s="577"/>
      <c r="H403" s="577"/>
      <c r="I403" s="577"/>
      <c r="J403" s="577"/>
      <c r="K403" s="577"/>
      <c r="L403" s="577"/>
      <c r="M403" s="577"/>
      <c r="N403" s="577"/>
      <c r="O403" s="348">
        <v>98571</v>
      </c>
      <c r="P403" s="361"/>
    </row>
    <row r="404" spans="1:17" s="175" customFormat="1" ht="14.25" customHeight="1">
      <c r="C404" s="248"/>
      <c r="E404" s="248"/>
      <c r="G404" s="248"/>
      <c r="O404" s="348"/>
      <c r="P404" s="349"/>
      <c r="Q404" s="289"/>
    </row>
    <row r="405" spans="1:17" s="175" customFormat="1" ht="14.25" customHeight="1">
      <c r="A405" s="320"/>
      <c r="C405" s="248" t="s">
        <v>75</v>
      </c>
      <c r="E405" s="175" t="s">
        <v>86</v>
      </c>
      <c r="G405" s="175" t="s">
        <v>77</v>
      </c>
      <c r="I405" s="248"/>
      <c r="J405" s="248"/>
      <c r="M405" s="304"/>
      <c r="N405" s="289"/>
      <c r="O405" s="362"/>
      <c r="P405" s="349"/>
      <c r="Q405" s="289"/>
    </row>
    <row r="406" spans="1:17" s="175" customFormat="1" ht="14.25" customHeight="1">
      <c r="A406" s="320"/>
      <c r="B406" s="175" t="s">
        <v>327</v>
      </c>
      <c r="C406" s="248">
        <f>C399</f>
        <v>4.1500000000000004</v>
      </c>
      <c r="D406" s="175" t="s">
        <v>78</v>
      </c>
      <c r="E406" s="248">
        <f>E399</f>
        <v>1.24</v>
      </c>
      <c r="F406" s="175" t="s">
        <v>79</v>
      </c>
      <c r="G406" s="248">
        <f>C406*E406</f>
        <v>5.1460000000000008</v>
      </c>
      <c r="H406" s="175" t="s">
        <v>42</v>
      </c>
      <c r="I406" s="248"/>
      <c r="J406" s="248"/>
      <c r="M406" s="304"/>
      <c r="N406" s="289"/>
      <c r="O406" s="362"/>
      <c r="P406" s="349"/>
      <c r="Q406" s="289"/>
    </row>
    <row r="407" spans="1:17" s="175" customFormat="1" ht="15" customHeight="1">
      <c r="A407" s="320"/>
      <c r="C407" s="248"/>
      <c r="I407" s="248"/>
      <c r="J407" s="248"/>
      <c r="M407" s="304"/>
      <c r="N407" s="289"/>
      <c r="O407" s="362"/>
      <c r="P407" s="349"/>
    </row>
    <row r="408" spans="1:17" s="175" customFormat="1" ht="14.25" customHeight="1">
      <c r="A408" s="321"/>
      <c r="B408" s="310" t="s">
        <v>92</v>
      </c>
      <c r="C408" s="322">
        <f>G406</f>
        <v>5.1460000000000008</v>
      </c>
      <c r="D408" s="323" t="s">
        <v>42</v>
      </c>
      <c r="G408" s="248"/>
      <c r="J408" s="248"/>
      <c r="O408" s="362"/>
      <c r="P408" s="362"/>
    </row>
    <row r="409" spans="1:17" ht="14.25" customHeight="1">
      <c r="A409" s="321"/>
      <c r="B409" s="187"/>
      <c r="C409" s="187"/>
      <c r="D409" s="187"/>
      <c r="E409" s="187"/>
      <c r="F409" s="187"/>
      <c r="G409" s="313"/>
      <c r="H409" s="129"/>
      <c r="I409" s="313"/>
      <c r="J409" s="129"/>
      <c r="K409" s="187"/>
      <c r="L409" s="187"/>
      <c r="M409" s="129"/>
      <c r="N409" s="129"/>
      <c r="O409" s="346"/>
      <c r="P409" s="360"/>
    </row>
    <row r="410" spans="1:17" s="175" customFormat="1">
      <c r="A410" s="244" t="s">
        <v>915</v>
      </c>
      <c r="B410" s="577" t="s">
        <v>501</v>
      </c>
      <c r="C410" s="577"/>
      <c r="D410" s="577"/>
      <c r="E410" s="577"/>
      <c r="F410" s="577"/>
      <c r="G410" s="577"/>
      <c r="H410" s="577"/>
      <c r="I410" s="577"/>
      <c r="J410" s="577"/>
      <c r="K410" s="577"/>
      <c r="L410" s="577"/>
      <c r="M410" s="577"/>
      <c r="N410" s="577"/>
      <c r="O410" s="348">
        <v>101792</v>
      </c>
      <c r="P410" s="361"/>
    </row>
    <row r="411" spans="1:17" s="175" customFormat="1" ht="14.25" customHeight="1">
      <c r="A411" s="321"/>
      <c r="C411" s="248"/>
      <c r="E411" s="248"/>
      <c r="G411" s="248"/>
      <c r="O411" s="348"/>
      <c r="P411" s="349"/>
      <c r="Q411" s="289"/>
    </row>
    <row r="412" spans="1:17" s="175" customFormat="1" ht="14.25" customHeight="1">
      <c r="A412" s="321"/>
      <c r="C412" s="248" t="s">
        <v>77</v>
      </c>
      <c r="E412" s="175" t="s">
        <v>76</v>
      </c>
      <c r="G412" s="175" t="s">
        <v>91</v>
      </c>
      <c r="I412" s="248"/>
      <c r="J412" s="248"/>
      <c r="M412" s="304"/>
      <c r="N412" s="289"/>
      <c r="O412" s="362"/>
      <c r="P412" s="349"/>
      <c r="Q412" s="289"/>
    </row>
    <row r="413" spans="1:17" s="175" customFormat="1" ht="14.25" customHeight="1">
      <c r="A413" s="321"/>
      <c r="B413" s="175" t="s">
        <v>327</v>
      </c>
      <c r="C413" s="248">
        <f>C408</f>
        <v>5.1460000000000008</v>
      </c>
      <c r="D413" s="175" t="s">
        <v>103</v>
      </c>
      <c r="E413" s="248">
        <v>2.0499999999999998</v>
      </c>
      <c r="F413" s="175" t="s">
        <v>79</v>
      </c>
      <c r="G413" s="248">
        <f>C413*E413</f>
        <v>10.549300000000001</v>
      </c>
      <c r="H413" s="175" t="s">
        <v>44</v>
      </c>
      <c r="I413" s="248"/>
      <c r="J413" s="248"/>
      <c r="M413" s="304"/>
      <c r="N413" s="289"/>
      <c r="O413" s="362"/>
      <c r="P413" s="349"/>
      <c r="Q413" s="289"/>
    </row>
    <row r="414" spans="1:17" s="175" customFormat="1" ht="15" customHeight="1">
      <c r="A414" s="321"/>
      <c r="C414" s="248"/>
      <c r="I414" s="248"/>
      <c r="J414" s="248"/>
      <c r="M414" s="304"/>
      <c r="N414" s="289"/>
      <c r="O414" s="362"/>
      <c r="P414" s="349"/>
    </row>
    <row r="415" spans="1:17" s="175" customFormat="1" ht="14.25" customHeight="1">
      <c r="A415" s="321"/>
      <c r="B415" s="310" t="s">
        <v>92</v>
      </c>
      <c r="C415" s="322">
        <f>G413</f>
        <v>10.549300000000001</v>
      </c>
      <c r="D415" s="323" t="s">
        <v>44</v>
      </c>
      <c r="G415" s="248"/>
      <c r="J415" s="248"/>
      <c r="O415" s="362"/>
      <c r="P415" s="362"/>
    </row>
    <row r="416" spans="1:17" ht="14.25" customHeight="1">
      <c r="A416" s="312"/>
      <c r="B416" s="187"/>
      <c r="C416" s="187"/>
      <c r="D416" s="187"/>
      <c r="E416" s="187"/>
      <c r="F416" s="187"/>
      <c r="G416" s="313"/>
      <c r="H416" s="129"/>
      <c r="I416" s="313"/>
      <c r="J416" s="129"/>
      <c r="K416" s="187"/>
      <c r="L416" s="187"/>
      <c r="M416" s="129"/>
      <c r="N416" s="129"/>
      <c r="O416" s="346"/>
      <c r="P416" s="360"/>
    </row>
    <row r="417" spans="1:17" ht="14.25" customHeight="1">
      <c r="A417" s="188" t="s">
        <v>116</v>
      </c>
      <c r="B417" s="551" t="s">
        <v>47</v>
      </c>
      <c r="C417" s="552"/>
      <c r="D417" s="552"/>
      <c r="E417" s="552"/>
      <c r="F417" s="552"/>
      <c r="G417" s="552"/>
      <c r="H417" s="552"/>
      <c r="I417" s="552"/>
      <c r="J417" s="552"/>
      <c r="K417" s="552"/>
      <c r="L417" s="552"/>
      <c r="M417" s="552"/>
      <c r="N417" s="552"/>
      <c r="O417" s="346"/>
      <c r="P417" s="347"/>
    </row>
    <row r="418" spans="1:17" ht="14.25">
      <c r="O418" s="339"/>
    </row>
    <row r="419" spans="1:17">
      <c r="A419" s="245" t="s">
        <v>394</v>
      </c>
      <c r="B419" s="544" t="s">
        <v>125</v>
      </c>
      <c r="C419" s="550"/>
      <c r="D419" s="550"/>
      <c r="E419" s="550"/>
      <c r="F419" s="550"/>
      <c r="G419" s="550"/>
      <c r="H419" s="550"/>
      <c r="I419" s="550"/>
      <c r="J419" s="550"/>
      <c r="K419" s="550"/>
      <c r="L419" s="550"/>
      <c r="M419" s="550"/>
      <c r="N419" s="550"/>
      <c r="O419" s="346">
        <v>103322</v>
      </c>
      <c r="P419" s="350"/>
    </row>
    <row r="420" spans="1:17" ht="14.25" customHeight="1">
      <c r="A420" s="195"/>
      <c r="B420" s="263"/>
      <c r="C420" s="196"/>
      <c r="D420" s="196"/>
      <c r="E420" s="196"/>
      <c r="F420" s="196"/>
      <c r="G420" s="196"/>
      <c r="H420" s="196"/>
      <c r="I420" s="196"/>
      <c r="J420" s="196"/>
      <c r="K420" s="196"/>
      <c r="L420" s="196"/>
      <c r="M420" s="196"/>
      <c r="N420" s="196"/>
      <c r="O420" s="346"/>
      <c r="P420" s="350"/>
      <c r="Q420" s="129"/>
    </row>
    <row r="421" spans="1:17" ht="14.25" customHeight="1">
      <c r="A421" s="190"/>
      <c r="B421" s="191" t="s">
        <v>464</v>
      </c>
      <c r="C421" s="128" t="s">
        <v>75</v>
      </c>
      <c r="E421" s="193" t="s">
        <v>76</v>
      </c>
      <c r="G421" s="129" t="s">
        <v>87</v>
      </c>
      <c r="H421" s="129"/>
      <c r="I421" s="129" t="s">
        <v>77</v>
      </c>
      <c r="J421" s="129"/>
      <c r="M421" s="272"/>
      <c r="P421" s="347"/>
    </row>
    <row r="422" spans="1:17" ht="14.25" customHeight="1">
      <c r="A422" s="190"/>
      <c r="B422" s="128" t="s">
        <v>1169</v>
      </c>
      <c r="C422" s="193">
        <v>0.87</v>
      </c>
      <c r="D422" s="128" t="s">
        <v>78</v>
      </c>
      <c r="E422" s="193">
        <v>0.09</v>
      </c>
      <c r="F422" s="128" t="s">
        <v>78</v>
      </c>
      <c r="G422" s="193">
        <v>1</v>
      </c>
      <c r="H422" s="128" t="s">
        <v>95</v>
      </c>
      <c r="I422" s="193">
        <f>C422*E422*G422</f>
        <v>7.8299999999999995E-2</v>
      </c>
      <c r="J422" s="128" t="s">
        <v>42</v>
      </c>
      <c r="M422" s="272"/>
    </row>
    <row r="423" spans="1:17" ht="14.25" customHeight="1">
      <c r="A423" s="190"/>
      <c r="B423" s="128" t="s">
        <v>1170</v>
      </c>
      <c r="C423" s="193">
        <v>0.59</v>
      </c>
      <c r="D423" s="128" t="s">
        <v>78</v>
      </c>
      <c r="E423" s="193">
        <v>0.09</v>
      </c>
      <c r="F423" s="128" t="s">
        <v>78</v>
      </c>
      <c r="G423" s="193">
        <v>2</v>
      </c>
      <c r="H423" s="128" t="s">
        <v>95</v>
      </c>
      <c r="I423" s="193">
        <f>C423*E423*G423</f>
        <v>0.10619999999999999</v>
      </c>
      <c r="J423" s="128" t="s">
        <v>42</v>
      </c>
      <c r="M423" s="272"/>
    </row>
    <row r="424" spans="1:17" ht="14.25" customHeight="1">
      <c r="A424" s="190"/>
      <c r="C424" s="193"/>
      <c r="E424" s="193"/>
      <c r="G424" s="193"/>
      <c r="I424" s="193"/>
      <c r="M424" s="272"/>
    </row>
    <row r="425" spans="1:17" ht="14.25" customHeight="1">
      <c r="A425" s="190"/>
      <c r="B425" s="191"/>
      <c r="C425" s="193" t="s">
        <v>77</v>
      </c>
      <c r="E425" s="193"/>
      <c r="G425" s="193"/>
      <c r="I425" s="193"/>
      <c r="M425" s="272"/>
    </row>
    <row r="426" spans="1:17" ht="14.25" customHeight="1">
      <c r="A426" s="190"/>
      <c r="B426" s="128" t="s">
        <v>489</v>
      </c>
      <c r="C426" s="193">
        <v>11.52</v>
      </c>
      <c r="D426" s="128" t="s">
        <v>42</v>
      </c>
      <c r="E426" s="193"/>
      <c r="G426" s="193"/>
      <c r="I426" s="193"/>
      <c r="M426" s="272"/>
    </row>
    <row r="427" spans="1:17" ht="14.25" customHeight="1">
      <c r="A427" s="190"/>
      <c r="C427" s="193"/>
      <c r="E427" s="193"/>
      <c r="G427" s="193"/>
      <c r="I427" s="193"/>
      <c r="O427" s="339"/>
    </row>
    <row r="428" spans="1:17" ht="14.25" customHeight="1">
      <c r="A428" s="201"/>
      <c r="B428" s="191" t="s">
        <v>92</v>
      </c>
      <c r="C428" s="192">
        <f>SUM(I422:I423)+SUM(C426)</f>
        <v>11.704499999999999</v>
      </c>
      <c r="D428" s="191" t="s">
        <v>42</v>
      </c>
      <c r="E428" s="193"/>
      <c r="G428" s="193"/>
      <c r="I428" s="193"/>
      <c r="O428" s="339"/>
    </row>
    <row r="429" spans="1:17">
      <c r="A429" s="201"/>
      <c r="B429" s="191"/>
      <c r="C429" s="192"/>
      <c r="D429" s="191"/>
      <c r="E429" s="193"/>
      <c r="G429" s="193"/>
      <c r="I429" s="193"/>
      <c r="O429" s="339"/>
    </row>
    <row r="430" spans="1:17" ht="14.25" customHeight="1">
      <c r="A430" s="245" t="s">
        <v>395</v>
      </c>
      <c r="B430" s="582" t="s">
        <v>452</v>
      </c>
      <c r="C430" s="582"/>
      <c r="D430" s="582"/>
      <c r="E430" s="582"/>
      <c r="F430" s="582"/>
      <c r="G430" s="582"/>
      <c r="H430" s="582"/>
      <c r="I430" s="582"/>
      <c r="J430" s="582"/>
      <c r="K430" s="582"/>
      <c r="L430" s="582"/>
      <c r="M430" s="582"/>
      <c r="N430" s="582"/>
      <c r="O430" s="346">
        <v>102253</v>
      </c>
      <c r="P430" s="347"/>
    </row>
    <row r="431" spans="1:17" ht="14.25" customHeight="1">
      <c r="A431" s="190"/>
      <c r="C431" s="193"/>
      <c r="E431" s="193"/>
      <c r="G431" s="193"/>
      <c r="O431" s="339"/>
      <c r="Q431" s="129"/>
    </row>
    <row r="432" spans="1:17" ht="14.25" customHeight="1">
      <c r="A432" s="190"/>
      <c r="B432" s="191"/>
      <c r="C432" s="193" t="s">
        <v>77</v>
      </c>
      <c r="E432" s="193"/>
      <c r="G432" s="193"/>
      <c r="J432" s="294"/>
      <c r="K432" s="294"/>
      <c r="O432" s="339"/>
    </row>
    <row r="433" spans="1:17" ht="14.25" customHeight="1">
      <c r="A433" s="190"/>
      <c r="B433" s="128" t="s">
        <v>1177</v>
      </c>
      <c r="C433" s="193">
        <f>1.15*2</f>
        <v>2.2999999999999998</v>
      </c>
      <c r="D433" s="128" t="s">
        <v>42</v>
      </c>
      <c r="E433" s="193"/>
      <c r="G433" s="193"/>
      <c r="I433" s="193"/>
      <c r="O433" s="339"/>
    </row>
    <row r="434" spans="1:17" ht="14.25" customHeight="1">
      <c r="A434" s="190"/>
      <c r="B434" s="128" t="s">
        <v>1178</v>
      </c>
      <c r="C434" s="193">
        <v>5.0999999999999996</v>
      </c>
      <c r="D434" s="128" t="s">
        <v>42</v>
      </c>
      <c r="E434" s="193"/>
      <c r="G434" s="193"/>
      <c r="I434" s="193"/>
      <c r="O434" s="339"/>
    </row>
    <row r="435" spans="1:17" ht="14.25" customHeight="1">
      <c r="A435" s="190"/>
      <c r="B435" s="128" t="s">
        <v>1169</v>
      </c>
      <c r="C435" s="193">
        <v>4.3499999999999996</v>
      </c>
      <c r="D435" s="128" t="s">
        <v>42</v>
      </c>
      <c r="E435" s="193"/>
      <c r="G435" s="193"/>
      <c r="O435" s="339"/>
    </row>
    <row r="436" spans="1:17" ht="14.25" customHeight="1">
      <c r="A436" s="190"/>
      <c r="B436" s="128" t="s">
        <v>1179</v>
      </c>
      <c r="C436" s="193">
        <v>5.0999999999999996</v>
      </c>
      <c r="D436" s="128" t="s">
        <v>42</v>
      </c>
      <c r="E436" s="193"/>
      <c r="G436" s="193"/>
      <c r="I436" s="193"/>
      <c r="O436" s="339"/>
    </row>
    <row r="437" spans="1:17" ht="14.25" customHeight="1">
      <c r="A437" s="301"/>
      <c r="B437" s="301"/>
      <c r="C437" s="301"/>
      <c r="D437" s="301"/>
      <c r="E437" s="301"/>
      <c r="F437" s="301"/>
      <c r="G437" s="301"/>
      <c r="H437" s="301"/>
      <c r="I437" s="301"/>
      <c r="J437" s="301"/>
      <c r="K437" s="301"/>
      <c r="L437" s="301"/>
      <c r="M437" s="301"/>
      <c r="N437" s="301"/>
      <c r="O437" s="339"/>
      <c r="P437" s="347"/>
    </row>
    <row r="438" spans="1:17" ht="14.25" customHeight="1">
      <c r="A438" s="190"/>
      <c r="B438" s="191" t="s">
        <v>92</v>
      </c>
      <c r="C438" s="192">
        <f>SUM(C433:C436)</f>
        <v>16.850000000000001</v>
      </c>
      <c r="D438" s="191" t="s">
        <v>42</v>
      </c>
      <c r="E438" s="193"/>
      <c r="G438" s="193"/>
      <c r="O438" s="339"/>
    </row>
    <row r="439" spans="1:17" ht="14.25" customHeight="1">
      <c r="A439" s="190"/>
      <c r="B439" s="193"/>
      <c r="C439" s="193"/>
      <c r="E439" s="193"/>
      <c r="G439" s="193"/>
      <c r="I439" s="193"/>
      <c r="O439" s="339"/>
    </row>
    <row r="440" spans="1:17">
      <c r="A440" s="245" t="s">
        <v>467</v>
      </c>
      <c r="B440" s="544" t="s">
        <v>466</v>
      </c>
      <c r="C440" s="550"/>
      <c r="D440" s="550"/>
      <c r="E440" s="550"/>
      <c r="F440" s="550"/>
      <c r="G440" s="550"/>
      <c r="H440" s="550"/>
      <c r="I440" s="550"/>
      <c r="J440" s="550"/>
      <c r="K440" s="550"/>
      <c r="L440" s="550"/>
      <c r="M440" s="550"/>
      <c r="N440" s="550"/>
      <c r="O440" s="346">
        <v>101161</v>
      </c>
      <c r="P440" s="350"/>
    </row>
    <row r="441" spans="1:17" ht="14.25" customHeight="1">
      <c r="A441" s="195"/>
      <c r="B441" s="263"/>
      <c r="C441" s="196"/>
      <c r="D441" s="196"/>
      <c r="E441" s="196"/>
      <c r="F441" s="196"/>
      <c r="G441" s="196"/>
      <c r="H441" s="196"/>
      <c r="I441" s="196"/>
      <c r="J441" s="196"/>
      <c r="K441" s="196"/>
      <c r="L441" s="196"/>
      <c r="M441" s="196"/>
      <c r="N441" s="196"/>
      <c r="O441" s="346"/>
      <c r="P441" s="350"/>
      <c r="Q441" s="129"/>
    </row>
    <row r="442" spans="1:17" ht="14.25" customHeight="1">
      <c r="A442" s="190"/>
      <c r="B442" s="191"/>
      <c r="C442" s="128" t="s">
        <v>75</v>
      </c>
      <c r="E442" s="193" t="s">
        <v>76</v>
      </c>
      <c r="G442" s="129" t="s">
        <v>87</v>
      </c>
      <c r="H442" s="129"/>
      <c r="I442" s="129" t="s">
        <v>77</v>
      </c>
      <c r="J442" s="129"/>
      <c r="M442" s="272"/>
      <c r="P442" s="347"/>
    </row>
    <row r="443" spans="1:17" ht="14.25" customHeight="1">
      <c r="A443" s="190"/>
      <c r="B443" s="128" t="s">
        <v>1184</v>
      </c>
      <c r="C443" s="193">
        <v>2.6</v>
      </c>
      <c r="D443" s="128" t="s">
        <v>78</v>
      </c>
      <c r="E443" s="193">
        <v>2.25</v>
      </c>
      <c r="F443" s="128" t="s">
        <v>78</v>
      </c>
      <c r="G443" s="193">
        <v>1</v>
      </c>
      <c r="H443" s="128" t="s">
        <v>95</v>
      </c>
      <c r="I443" s="193">
        <f>C443*E443*G443</f>
        <v>5.8500000000000005</v>
      </c>
      <c r="J443" s="128" t="s">
        <v>42</v>
      </c>
      <c r="M443" s="272"/>
    </row>
    <row r="444" spans="1:17" ht="14.25" customHeight="1">
      <c r="A444" s="190"/>
      <c r="B444" s="128" t="s">
        <v>1249</v>
      </c>
      <c r="C444" s="193">
        <f>1.2+4.8*2</f>
        <v>10.799999999999999</v>
      </c>
      <c r="D444" s="128" t="s">
        <v>78</v>
      </c>
      <c r="E444" s="193">
        <v>2</v>
      </c>
      <c r="F444" s="128" t="s">
        <v>78</v>
      </c>
      <c r="G444" s="193">
        <v>3</v>
      </c>
      <c r="H444" s="128" t="s">
        <v>95</v>
      </c>
      <c r="I444" s="193">
        <f>C444*E444*G444</f>
        <v>64.8</v>
      </c>
      <c r="J444" s="128" t="s">
        <v>42</v>
      </c>
      <c r="M444" s="272"/>
    </row>
    <row r="445" spans="1:17" ht="14.25" customHeight="1">
      <c r="A445" s="190"/>
      <c r="B445" s="128" t="s">
        <v>1250</v>
      </c>
      <c r="C445" s="193">
        <f>1.2*2+4.8*2</f>
        <v>12</v>
      </c>
      <c r="D445" s="128" t="s">
        <v>78</v>
      </c>
      <c r="E445" s="193">
        <v>2</v>
      </c>
      <c r="F445" s="128" t="s">
        <v>78</v>
      </c>
      <c r="G445" s="193">
        <v>1</v>
      </c>
      <c r="H445" s="128" t="s">
        <v>95</v>
      </c>
      <c r="I445" s="193">
        <f>C445*E445*G445</f>
        <v>24</v>
      </c>
      <c r="J445" s="128" t="s">
        <v>42</v>
      </c>
      <c r="M445" s="272"/>
    </row>
    <row r="446" spans="1:17" ht="14.25" customHeight="1">
      <c r="A446" s="190"/>
      <c r="B446" s="128" t="s">
        <v>1251</v>
      </c>
      <c r="C446" s="193">
        <f>1.6</f>
        <v>1.6</v>
      </c>
      <c r="D446" s="128" t="s">
        <v>78</v>
      </c>
      <c r="E446" s="193">
        <v>3.6</v>
      </c>
      <c r="F446" s="128" t="s">
        <v>78</v>
      </c>
      <c r="G446" s="193">
        <v>2</v>
      </c>
      <c r="H446" s="128" t="s">
        <v>95</v>
      </c>
      <c r="I446" s="193">
        <f>C446*E446*G446</f>
        <v>11.520000000000001</v>
      </c>
      <c r="J446" s="128" t="s">
        <v>42</v>
      </c>
      <c r="M446" s="272"/>
    </row>
    <row r="447" spans="1:17" ht="14.25" customHeight="1">
      <c r="A447" s="190"/>
      <c r="B447" s="128" t="s">
        <v>1252</v>
      </c>
      <c r="C447" s="193">
        <v>2.4</v>
      </c>
      <c r="D447" s="128" t="s">
        <v>78</v>
      </c>
      <c r="E447" s="193">
        <v>0.8</v>
      </c>
      <c r="F447" s="128" t="s">
        <v>78</v>
      </c>
      <c r="G447" s="193">
        <v>1</v>
      </c>
      <c r="H447" s="128" t="s">
        <v>95</v>
      </c>
      <c r="I447" s="193">
        <f>C447*E447*G447</f>
        <v>1.92</v>
      </c>
      <c r="J447" s="128" t="s">
        <v>42</v>
      </c>
      <c r="M447" s="272"/>
    </row>
    <row r="448" spans="1:17" ht="14.25" customHeight="1">
      <c r="A448" s="190"/>
      <c r="C448" s="193"/>
      <c r="E448" s="193"/>
      <c r="G448" s="193"/>
      <c r="I448" s="193"/>
      <c r="O448" s="339"/>
    </row>
    <row r="449" spans="1:17" ht="14.25" customHeight="1">
      <c r="A449" s="201"/>
      <c r="B449" s="191" t="s">
        <v>92</v>
      </c>
      <c r="C449" s="192">
        <f>SUM(I443:I447)</f>
        <v>108.08999999999999</v>
      </c>
      <c r="D449" s="191" t="s">
        <v>42</v>
      </c>
      <c r="E449" s="193"/>
      <c r="G449" s="193"/>
      <c r="I449" s="193"/>
      <c r="O449" s="339"/>
    </row>
    <row r="450" spans="1:17">
      <c r="A450" s="201"/>
      <c r="B450" s="191"/>
      <c r="C450" s="192"/>
      <c r="D450" s="191"/>
      <c r="E450" s="193"/>
      <c r="G450" s="193"/>
      <c r="I450" s="193"/>
      <c r="O450" s="339"/>
    </row>
    <row r="451" spans="1:17" ht="14.25" customHeight="1">
      <c r="A451" s="188" t="s">
        <v>124</v>
      </c>
      <c r="B451" s="551" t="s">
        <v>48</v>
      </c>
      <c r="C451" s="552"/>
      <c r="D451" s="552"/>
      <c r="E451" s="552"/>
      <c r="F451" s="552"/>
      <c r="G451" s="552"/>
      <c r="H451" s="552"/>
      <c r="I451" s="552"/>
      <c r="J451" s="552"/>
      <c r="K451" s="552"/>
      <c r="L451" s="552"/>
      <c r="M451" s="552"/>
      <c r="N451" s="552"/>
      <c r="O451" s="337"/>
      <c r="P451" s="338"/>
    </row>
    <row r="452" spans="1:17" ht="15" customHeight="1">
      <c r="O452" s="339"/>
    </row>
    <row r="453" spans="1:17">
      <c r="A453" s="245" t="s">
        <v>396</v>
      </c>
      <c r="B453" s="544" t="s">
        <v>361</v>
      </c>
      <c r="C453" s="544"/>
      <c r="D453" s="544"/>
      <c r="E453" s="544"/>
      <c r="F453" s="544"/>
      <c r="G453" s="544"/>
      <c r="H453" s="544"/>
      <c r="I453" s="544"/>
      <c r="J453" s="544"/>
      <c r="K453" s="544"/>
      <c r="L453" s="544"/>
      <c r="M453" s="544"/>
      <c r="N453" s="544"/>
      <c r="O453" s="346">
        <v>87879</v>
      </c>
    </row>
    <row r="454" spans="1:17" ht="14.25" customHeight="1">
      <c r="A454" s="190"/>
      <c r="C454" s="193"/>
      <c r="E454" s="193"/>
      <c r="G454" s="193"/>
      <c r="O454" s="339"/>
      <c r="Q454" s="129"/>
    </row>
    <row r="455" spans="1:17" ht="14.25" customHeight="1">
      <c r="A455" s="190"/>
      <c r="B455" s="191" t="s">
        <v>464</v>
      </c>
      <c r="C455" s="128" t="s">
        <v>75</v>
      </c>
      <c r="E455" s="193" t="s">
        <v>76</v>
      </c>
      <c r="G455" s="129" t="s">
        <v>87</v>
      </c>
      <c r="H455" s="129"/>
      <c r="I455" s="129" t="s">
        <v>77</v>
      </c>
      <c r="J455" s="129"/>
      <c r="M455" s="272"/>
      <c r="P455" s="347"/>
    </row>
    <row r="456" spans="1:17" ht="14.25" customHeight="1">
      <c r="A456" s="190"/>
      <c r="B456" s="128" t="s">
        <v>1169</v>
      </c>
      <c r="C456" s="193">
        <f>C422</f>
        <v>0.87</v>
      </c>
      <c r="D456" s="128" t="s">
        <v>78</v>
      </c>
      <c r="E456" s="193">
        <f>E422</f>
        <v>0.09</v>
      </c>
      <c r="F456" s="128" t="s">
        <v>78</v>
      </c>
      <c r="G456" s="193">
        <f>G422</f>
        <v>1</v>
      </c>
      <c r="H456" s="128" t="s">
        <v>95</v>
      </c>
      <c r="I456" s="193">
        <f>C456*E456*G456</f>
        <v>7.8299999999999995E-2</v>
      </c>
      <c r="J456" s="128" t="s">
        <v>42</v>
      </c>
      <c r="M456" s="272"/>
    </row>
    <row r="457" spans="1:17" ht="14.25" customHeight="1">
      <c r="A457" s="190"/>
      <c r="B457" s="128" t="s">
        <v>1170</v>
      </c>
      <c r="C457" s="193">
        <f>C423</f>
        <v>0.59</v>
      </c>
      <c r="D457" s="128" t="s">
        <v>78</v>
      </c>
      <c r="E457" s="193">
        <f>E423</f>
        <v>0.09</v>
      </c>
      <c r="F457" s="128" t="s">
        <v>78</v>
      </c>
      <c r="G457" s="193">
        <f>G423</f>
        <v>2</v>
      </c>
      <c r="H457" s="128" t="s">
        <v>95</v>
      </c>
      <c r="I457" s="193">
        <f>C457*E457*G457</f>
        <v>0.10619999999999999</v>
      </c>
      <c r="J457" s="128" t="s">
        <v>42</v>
      </c>
      <c r="M457" s="272"/>
    </row>
    <row r="458" spans="1:17" ht="14.25" customHeight="1">
      <c r="A458" s="190"/>
      <c r="C458" s="193"/>
      <c r="G458" s="193"/>
      <c r="O458" s="339"/>
    </row>
    <row r="459" spans="1:17" ht="14.25" customHeight="1">
      <c r="A459" s="201"/>
      <c r="B459" s="128" t="s">
        <v>221</v>
      </c>
      <c r="C459" s="197">
        <f>SUM(I456:I457)</f>
        <v>0.1845</v>
      </c>
      <c r="D459" s="128" t="s">
        <v>42</v>
      </c>
      <c r="E459" s="193"/>
      <c r="G459" s="193"/>
      <c r="I459" s="193"/>
      <c r="O459" s="339"/>
    </row>
    <row r="460" spans="1:17" ht="14.25" customHeight="1">
      <c r="A460" s="201"/>
      <c r="B460" s="191"/>
      <c r="C460" s="274"/>
      <c r="D460" s="191"/>
      <c r="E460" s="193"/>
      <c r="G460" s="193"/>
      <c r="I460" s="193"/>
      <c r="O460" s="339"/>
    </row>
    <row r="461" spans="1:17" ht="14.25" customHeight="1">
      <c r="A461" s="190"/>
      <c r="C461" s="193" t="s">
        <v>75</v>
      </c>
      <c r="E461" s="193" t="s">
        <v>86</v>
      </c>
      <c r="G461" s="193" t="s">
        <v>77</v>
      </c>
      <c r="I461" s="193"/>
      <c r="M461" s="272"/>
    </row>
    <row r="462" spans="1:17" ht="14.25" customHeight="1">
      <c r="A462" s="190"/>
      <c r="B462" s="128" t="s">
        <v>489</v>
      </c>
      <c r="C462" s="193">
        <f>2.54+1.28+1.74+2.34+1.54+1.04+1.94+2.3+1.8+0.84+2.1+1.44</f>
        <v>20.900000000000002</v>
      </c>
      <c r="D462" s="128" t="s">
        <v>78</v>
      </c>
      <c r="E462" s="193">
        <v>0.09</v>
      </c>
      <c r="F462" s="128" t="s">
        <v>79</v>
      </c>
      <c r="G462" s="193">
        <f>C462*E462</f>
        <v>1.8810000000000002</v>
      </c>
      <c r="H462" s="128" t="s">
        <v>42</v>
      </c>
      <c r="I462" s="193"/>
      <c r="M462" s="272"/>
    </row>
    <row r="463" spans="1:17" ht="14.25" customHeight="1">
      <c r="A463" s="190"/>
      <c r="C463" s="193"/>
      <c r="E463" s="193"/>
      <c r="G463" s="193"/>
      <c r="I463" s="193"/>
      <c r="M463" s="272"/>
    </row>
    <row r="464" spans="1:17">
      <c r="A464" s="201"/>
      <c r="B464" s="191" t="s">
        <v>92</v>
      </c>
      <c r="C464" s="192">
        <f>C459+G462</f>
        <v>2.0655000000000001</v>
      </c>
      <c r="D464" s="191" t="s">
        <v>42</v>
      </c>
      <c r="E464" s="193"/>
      <c r="G464" s="193"/>
      <c r="I464" s="193"/>
      <c r="O464" s="339"/>
    </row>
    <row r="465" spans="1:33">
      <c r="A465" s="201"/>
      <c r="B465" s="191"/>
      <c r="C465" s="192"/>
      <c r="D465" s="191"/>
      <c r="E465" s="193"/>
      <c r="G465" s="193"/>
      <c r="I465" s="193"/>
      <c r="O465" s="339"/>
    </row>
    <row r="466" spans="1:33" ht="31.5" customHeight="1">
      <c r="A466" s="245" t="s">
        <v>397</v>
      </c>
      <c r="B466" s="581" t="s">
        <v>204</v>
      </c>
      <c r="C466" s="550"/>
      <c r="D466" s="550"/>
      <c r="E466" s="550"/>
      <c r="F466" s="550"/>
      <c r="G466" s="550"/>
      <c r="H466" s="550"/>
      <c r="I466" s="550"/>
      <c r="J466" s="550"/>
      <c r="K466" s="550"/>
      <c r="L466" s="550"/>
      <c r="M466" s="550"/>
      <c r="N466" s="550"/>
      <c r="O466" s="346">
        <v>87794</v>
      </c>
    </row>
    <row r="467" spans="1:33" ht="14.25" customHeight="1">
      <c r="A467" s="194"/>
      <c r="B467" s="275"/>
      <c r="C467" s="275"/>
      <c r="D467" s="275"/>
      <c r="E467" s="275"/>
      <c r="F467" s="275"/>
      <c r="G467" s="275"/>
      <c r="H467" s="275"/>
      <c r="I467" s="275"/>
      <c r="J467" s="275"/>
      <c r="K467" s="275"/>
      <c r="L467" s="275"/>
      <c r="M467" s="275"/>
      <c r="N467" s="275"/>
      <c r="O467" s="346"/>
    </row>
    <row r="468" spans="1:33" ht="14.25" customHeight="1">
      <c r="A468" s="201"/>
      <c r="B468" s="579" t="s">
        <v>398</v>
      </c>
      <c r="C468" s="580"/>
      <c r="D468" s="580"/>
      <c r="E468" s="580"/>
      <c r="F468" s="580"/>
      <c r="G468" s="580"/>
      <c r="H468" s="580"/>
      <c r="I468" s="580"/>
      <c r="J468" s="580"/>
      <c r="K468" s="580"/>
      <c r="L468" s="580"/>
      <c r="M468" s="580"/>
      <c r="N468" s="580"/>
      <c r="O468" s="339"/>
    </row>
    <row r="469" spans="1:33" ht="14.25" customHeight="1">
      <c r="A469" s="201"/>
      <c r="C469" s="193" t="s">
        <v>77</v>
      </c>
      <c r="E469" s="193"/>
      <c r="G469" s="193"/>
      <c r="O469" s="339"/>
    </row>
    <row r="470" spans="1:33" ht="14.25" customHeight="1">
      <c r="A470" s="201"/>
      <c r="B470" s="191" t="s">
        <v>92</v>
      </c>
      <c r="C470" s="274">
        <f>C464</f>
        <v>2.0655000000000001</v>
      </c>
      <c r="D470" s="191" t="s">
        <v>42</v>
      </c>
      <c r="E470" s="193"/>
      <c r="G470" s="193"/>
      <c r="I470" s="193"/>
      <c r="O470" s="339"/>
    </row>
    <row r="471" spans="1:33">
      <c r="A471" s="201"/>
      <c r="B471" s="191"/>
      <c r="C471" s="192"/>
      <c r="D471" s="191"/>
      <c r="E471" s="193"/>
      <c r="G471" s="193"/>
      <c r="I471" s="193"/>
      <c r="O471" s="339"/>
    </row>
    <row r="472" spans="1:33">
      <c r="A472" s="245" t="s">
        <v>901</v>
      </c>
      <c r="B472" s="544" t="s">
        <v>1005</v>
      </c>
      <c r="C472" s="544"/>
      <c r="D472" s="544"/>
      <c r="E472" s="544"/>
      <c r="F472" s="544"/>
      <c r="G472" s="544"/>
      <c r="H472" s="544"/>
      <c r="I472" s="544"/>
      <c r="J472" s="544"/>
      <c r="K472" s="544"/>
      <c r="L472" s="544"/>
      <c r="M472" s="544"/>
      <c r="N472" s="544"/>
      <c r="O472" s="346">
        <v>101739</v>
      </c>
    </row>
    <row r="473" spans="1:33" ht="14.25" customHeight="1">
      <c r="A473" s="194"/>
      <c r="B473" s="275"/>
      <c r="C473" s="275"/>
      <c r="D473" s="275"/>
      <c r="E473" s="275"/>
      <c r="F473" s="275"/>
      <c r="G473" s="275"/>
      <c r="H473" s="275"/>
      <c r="I473" s="275"/>
      <c r="J473" s="275"/>
      <c r="K473" s="275"/>
      <c r="L473" s="275"/>
      <c r="M473" s="275"/>
      <c r="N473" s="275"/>
      <c r="O473" s="346"/>
    </row>
    <row r="474" spans="1:33" ht="14.25" customHeight="1">
      <c r="A474" s="201"/>
      <c r="C474" s="193" t="s">
        <v>75</v>
      </c>
      <c r="E474" s="193"/>
      <c r="G474" s="193"/>
      <c r="O474" s="339"/>
    </row>
    <row r="475" spans="1:33" ht="14.25" customHeight="1">
      <c r="A475" s="199"/>
      <c r="B475" s="128" t="s">
        <v>451</v>
      </c>
      <c r="C475" s="193">
        <v>132.19999999999999</v>
      </c>
      <c r="D475" s="128" t="s">
        <v>50</v>
      </c>
      <c r="E475" s="193"/>
      <c r="G475" s="193"/>
      <c r="I475" s="129"/>
      <c r="J475" s="187"/>
      <c r="K475" s="129"/>
      <c r="L475" s="129"/>
      <c r="M475" s="129"/>
      <c r="N475" s="129"/>
      <c r="O475" s="358"/>
      <c r="P475" s="347"/>
      <c r="Q475" s="129"/>
      <c r="R475" s="129"/>
      <c r="S475" s="129"/>
      <c r="T475" s="129"/>
      <c r="U475" s="129"/>
      <c r="V475" s="129"/>
      <c r="W475" s="129"/>
      <c r="X475" s="129"/>
      <c r="Y475" s="129"/>
      <c r="Z475" s="129"/>
      <c r="AA475" s="129"/>
      <c r="AB475" s="129"/>
      <c r="AC475" s="129"/>
      <c r="AD475" s="129"/>
      <c r="AE475" s="129"/>
      <c r="AF475" s="129"/>
      <c r="AG475" s="129"/>
    </row>
    <row r="476" spans="1:33" ht="14.25" customHeight="1">
      <c r="A476" s="199"/>
      <c r="B476" s="129"/>
      <c r="C476" s="193"/>
      <c r="E476" s="193"/>
      <c r="G476" s="193"/>
      <c r="I476" s="129"/>
      <c r="J476" s="187"/>
      <c r="K476" s="129"/>
      <c r="L476" s="129"/>
      <c r="M476" s="129"/>
      <c r="N476" s="129"/>
      <c r="O476" s="358"/>
      <c r="P476" s="347"/>
      <c r="Q476" s="129"/>
      <c r="R476" s="129"/>
      <c r="S476" s="129"/>
      <c r="T476" s="129"/>
      <c r="U476" s="129"/>
      <c r="V476" s="129"/>
      <c r="W476" s="129"/>
      <c r="X476" s="129"/>
      <c r="Y476" s="129"/>
      <c r="Z476" s="129"/>
      <c r="AA476" s="129"/>
      <c r="AB476" s="129"/>
      <c r="AC476" s="129"/>
      <c r="AD476" s="129"/>
      <c r="AE476" s="129"/>
      <c r="AF476" s="129"/>
      <c r="AG476" s="129"/>
    </row>
    <row r="477" spans="1:33" ht="14.25" customHeight="1">
      <c r="A477" s="201"/>
      <c r="B477" s="191" t="s">
        <v>92</v>
      </c>
      <c r="C477" s="274">
        <f>SUM(C475:C475)</f>
        <v>132.19999999999999</v>
      </c>
      <c r="D477" s="191" t="s">
        <v>50</v>
      </c>
      <c r="E477" s="193"/>
      <c r="G477" s="193"/>
      <c r="I477" s="193"/>
      <c r="O477" s="339"/>
    </row>
    <row r="478" spans="1:33">
      <c r="A478" s="201"/>
      <c r="B478" s="191"/>
      <c r="C478" s="192"/>
      <c r="D478" s="191"/>
      <c r="E478" s="193"/>
      <c r="G478" s="193"/>
      <c r="I478" s="193"/>
      <c r="O478" s="339"/>
    </row>
    <row r="479" spans="1:33" ht="15" customHeight="1">
      <c r="A479" s="245" t="s">
        <v>450</v>
      </c>
      <c r="B479" s="544" t="s">
        <v>1152</v>
      </c>
      <c r="C479" s="544"/>
      <c r="D479" s="544"/>
      <c r="E479" s="544"/>
      <c r="F479" s="544"/>
      <c r="G479" s="544"/>
      <c r="H479" s="544"/>
      <c r="I479" s="544"/>
      <c r="J479" s="544"/>
      <c r="K479" s="544"/>
      <c r="L479" s="544"/>
      <c r="M479" s="544"/>
      <c r="N479" s="544"/>
      <c r="O479" s="346" t="s">
        <v>1006</v>
      </c>
      <c r="P479" s="189" t="s">
        <v>74</v>
      </c>
    </row>
    <row r="480" spans="1:33" ht="14.25" customHeight="1">
      <c r="A480" s="190"/>
      <c r="C480" s="193"/>
      <c r="E480" s="193"/>
      <c r="G480" s="193"/>
      <c r="O480" s="339"/>
      <c r="Q480" s="129"/>
    </row>
    <row r="481" spans="1:17" ht="14.25" customHeight="1">
      <c r="A481" s="190"/>
      <c r="B481" s="191"/>
      <c r="C481" s="128" t="s">
        <v>75</v>
      </c>
      <c r="E481" s="193" t="s">
        <v>76</v>
      </c>
      <c r="G481" s="129" t="s">
        <v>87</v>
      </c>
      <c r="H481" s="129"/>
      <c r="I481" s="129" t="s">
        <v>77</v>
      </c>
      <c r="J481" s="129"/>
      <c r="M481" s="272"/>
      <c r="P481" s="347"/>
    </row>
    <row r="482" spans="1:17" ht="14.25" customHeight="1">
      <c r="A482" s="190"/>
      <c r="B482" s="128" t="s">
        <v>484</v>
      </c>
      <c r="C482" s="193">
        <f>0.7099*2+0.09*2</f>
        <v>1.5997999999999999</v>
      </c>
      <c r="D482" s="128" t="s">
        <v>78</v>
      </c>
      <c r="E482" s="193">
        <v>0.8</v>
      </c>
      <c r="F482" s="128" t="s">
        <v>78</v>
      </c>
      <c r="G482" s="193">
        <v>1</v>
      </c>
      <c r="H482" s="128" t="s">
        <v>95</v>
      </c>
      <c r="I482" s="193">
        <f>C482*E482*G482</f>
        <v>1.2798400000000001</v>
      </c>
      <c r="J482" s="128" t="s">
        <v>42</v>
      </c>
      <c r="M482" s="272"/>
    </row>
    <row r="483" spans="1:17" ht="14.25" customHeight="1">
      <c r="A483" s="190"/>
      <c r="C483" s="193"/>
      <c r="G483" s="193"/>
      <c r="O483" s="339"/>
    </row>
    <row r="484" spans="1:17" ht="14.25" customHeight="1">
      <c r="A484" s="201"/>
      <c r="B484" s="191" t="s">
        <v>92</v>
      </c>
      <c r="C484" s="274">
        <f>SUM(I482:I482)</f>
        <v>1.2798400000000001</v>
      </c>
      <c r="D484" s="191" t="s">
        <v>42</v>
      </c>
      <c r="E484" s="193"/>
      <c r="G484" s="193"/>
      <c r="I484" s="193"/>
      <c r="O484" s="339"/>
    </row>
    <row r="485" spans="1:17">
      <c r="A485" s="201"/>
      <c r="B485" s="191"/>
      <c r="C485" s="192"/>
      <c r="D485" s="191"/>
      <c r="E485" s="193"/>
      <c r="G485" s="193"/>
      <c r="I485" s="193"/>
      <c r="O485" s="339"/>
    </row>
    <row r="486" spans="1:17" ht="15" customHeight="1">
      <c r="A486" s="245" t="s">
        <v>485</v>
      </c>
      <c r="B486" s="544" t="s">
        <v>487</v>
      </c>
      <c r="C486" s="544"/>
      <c r="D486" s="544"/>
      <c r="E486" s="544"/>
      <c r="F486" s="544"/>
      <c r="G486" s="544"/>
      <c r="H486" s="544"/>
      <c r="I486" s="544"/>
      <c r="J486" s="544"/>
      <c r="K486" s="544"/>
      <c r="L486" s="544"/>
      <c r="M486" s="544"/>
      <c r="N486" s="544"/>
      <c r="O486" s="346">
        <v>98555</v>
      </c>
    </row>
    <row r="487" spans="1:17" ht="14.25" customHeight="1">
      <c r="A487" s="190"/>
      <c r="C487" s="193"/>
      <c r="E487" s="193"/>
      <c r="G487" s="193"/>
      <c r="O487" s="339"/>
      <c r="Q487" s="129"/>
    </row>
    <row r="488" spans="1:17" ht="14.25" customHeight="1">
      <c r="A488" s="190"/>
      <c r="B488" s="191"/>
      <c r="C488" s="128" t="s">
        <v>75</v>
      </c>
      <c r="E488" s="193" t="s">
        <v>76</v>
      </c>
      <c r="G488" s="129" t="s">
        <v>87</v>
      </c>
      <c r="H488" s="129"/>
      <c r="I488" s="129" t="s">
        <v>77</v>
      </c>
      <c r="J488" s="129"/>
      <c r="M488" s="272"/>
      <c r="P488" s="347"/>
    </row>
    <row r="489" spans="1:17" ht="14.25" customHeight="1">
      <c r="A489" s="190"/>
      <c r="B489" s="128" t="s">
        <v>484</v>
      </c>
      <c r="C489" s="193">
        <f>C482</f>
        <v>1.5997999999999999</v>
      </c>
      <c r="D489" s="128" t="s">
        <v>78</v>
      </c>
      <c r="E489" s="193">
        <f>E482</f>
        <v>0.8</v>
      </c>
      <c r="F489" s="128" t="s">
        <v>78</v>
      </c>
      <c r="G489" s="193">
        <f>G482</f>
        <v>1</v>
      </c>
      <c r="H489" s="128" t="s">
        <v>95</v>
      </c>
      <c r="I489" s="193">
        <f>C489*E489*G489</f>
        <v>1.2798400000000001</v>
      </c>
      <c r="J489" s="128" t="s">
        <v>42</v>
      </c>
      <c r="M489" s="272"/>
    </row>
    <row r="490" spans="1:17" ht="14.25" customHeight="1">
      <c r="A490" s="190"/>
      <c r="C490" s="193"/>
      <c r="G490" s="193"/>
      <c r="O490" s="339"/>
    </row>
    <row r="491" spans="1:17" ht="14.25" customHeight="1">
      <c r="A491" s="201"/>
      <c r="B491" s="191" t="s">
        <v>92</v>
      </c>
      <c r="C491" s="274">
        <f>SUM(I489:I489)</f>
        <v>1.2798400000000001</v>
      </c>
      <c r="D491" s="191" t="s">
        <v>42</v>
      </c>
      <c r="E491" s="193"/>
      <c r="G491" s="193"/>
      <c r="I491" s="193"/>
      <c r="O491" s="339"/>
    </row>
    <row r="492" spans="1:17">
      <c r="A492" s="201"/>
      <c r="B492" s="191"/>
      <c r="C492" s="192"/>
      <c r="D492" s="191"/>
      <c r="E492" s="193"/>
      <c r="G492" s="193"/>
      <c r="I492" s="193"/>
      <c r="O492" s="339"/>
    </row>
    <row r="493" spans="1:17">
      <c r="A493" s="245" t="s">
        <v>486</v>
      </c>
      <c r="B493" s="544" t="s">
        <v>1174</v>
      </c>
      <c r="C493" s="544"/>
      <c r="D493" s="544"/>
      <c r="E493" s="544"/>
      <c r="F493" s="544"/>
      <c r="G493" s="544"/>
      <c r="H493" s="544"/>
      <c r="I493" s="544"/>
      <c r="J493" s="544"/>
      <c r="K493" s="544"/>
      <c r="L493" s="544"/>
      <c r="M493" s="544"/>
      <c r="N493" s="544"/>
      <c r="O493" s="346">
        <v>104611</v>
      </c>
    </row>
    <row r="494" spans="1:17" ht="14.25" customHeight="1">
      <c r="A494" s="190"/>
      <c r="C494" s="193"/>
      <c r="E494" s="193"/>
      <c r="G494" s="193"/>
      <c r="O494" s="339"/>
      <c r="Q494" s="129"/>
    </row>
    <row r="495" spans="1:17" ht="14.25" customHeight="1">
      <c r="A495" s="190"/>
      <c r="B495" s="191"/>
      <c r="C495" s="128" t="s">
        <v>75</v>
      </c>
      <c r="E495" s="193" t="s">
        <v>76</v>
      </c>
      <c r="G495" s="129" t="s">
        <v>87</v>
      </c>
      <c r="H495" s="129"/>
      <c r="I495" s="129" t="s">
        <v>77</v>
      </c>
      <c r="J495" s="129"/>
      <c r="M495" s="272"/>
      <c r="P495" s="347"/>
    </row>
    <row r="496" spans="1:17" ht="14.25" customHeight="1">
      <c r="A496" s="190"/>
      <c r="B496" s="128" t="s">
        <v>484</v>
      </c>
      <c r="C496" s="193">
        <f>C489</f>
        <v>1.5997999999999999</v>
      </c>
      <c r="D496" s="128" t="s">
        <v>78</v>
      </c>
      <c r="E496" s="193">
        <f>E489</f>
        <v>0.8</v>
      </c>
      <c r="F496" s="128" t="s">
        <v>78</v>
      </c>
      <c r="G496" s="193">
        <f>G489</f>
        <v>1</v>
      </c>
      <c r="H496" s="128" t="s">
        <v>95</v>
      </c>
      <c r="I496" s="193">
        <f>C496*E496*G496</f>
        <v>1.2798400000000001</v>
      </c>
      <c r="J496" s="128" t="s">
        <v>42</v>
      </c>
      <c r="M496" s="272"/>
    </row>
    <row r="497" spans="1:33" ht="14.25" customHeight="1">
      <c r="A497" s="190"/>
      <c r="C497" s="193"/>
      <c r="G497" s="193"/>
      <c r="O497" s="339"/>
    </row>
    <row r="498" spans="1:33" ht="14.25" customHeight="1">
      <c r="A498" s="201"/>
      <c r="B498" s="191" t="s">
        <v>92</v>
      </c>
      <c r="C498" s="274">
        <f>SUM(I496:I496)</f>
        <v>1.2798400000000001</v>
      </c>
      <c r="D498" s="191" t="s">
        <v>42</v>
      </c>
      <c r="E498" s="193"/>
      <c r="G498" s="193"/>
      <c r="I498" s="193"/>
      <c r="O498" s="339"/>
    </row>
    <row r="499" spans="1:33">
      <c r="A499" s="201"/>
      <c r="B499" s="191"/>
      <c r="C499" s="192"/>
      <c r="D499" s="191"/>
      <c r="E499" s="193"/>
      <c r="G499" s="193"/>
      <c r="I499" s="193"/>
      <c r="O499" s="339"/>
    </row>
    <row r="500" spans="1:33" ht="14.25" customHeight="1">
      <c r="A500" s="188" t="s">
        <v>127</v>
      </c>
      <c r="B500" s="551" t="s">
        <v>152</v>
      </c>
      <c r="C500" s="552"/>
      <c r="D500" s="552"/>
      <c r="E500" s="552"/>
      <c r="F500" s="552"/>
      <c r="G500" s="552"/>
      <c r="H500" s="552"/>
      <c r="I500" s="552"/>
      <c r="J500" s="552"/>
      <c r="K500" s="552"/>
      <c r="L500" s="552"/>
      <c r="M500" s="552"/>
      <c r="N500" s="552"/>
      <c r="O500" s="346"/>
      <c r="P500" s="347"/>
    </row>
    <row r="501" spans="1:33" ht="14.25">
      <c r="A501" s="190"/>
      <c r="C501" s="193"/>
      <c r="E501" s="193"/>
      <c r="G501" s="193"/>
      <c r="O501" s="339"/>
    </row>
    <row r="502" spans="1:33" s="414" customFormat="1">
      <c r="A502" s="410" t="s">
        <v>128</v>
      </c>
      <c r="B502" s="588" t="s">
        <v>2512</v>
      </c>
      <c r="C502" s="589"/>
      <c r="D502" s="589"/>
      <c r="E502" s="589"/>
      <c r="F502" s="589"/>
      <c r="G502" s="589"/>
      <c r="H502" s="589"/>
      <c r="I502" s="589"/>
      <c r="J502" s="589"/>
      <c r="K502" s="589"/>
      <c r="L502" s="589"/>
      <c r="M502" s="589"/>
      <c r="N502" s="589"/>
      <c r="O502" s="411">
        <v>104472</v>
      </c>
      <c r="P502" s="412"/>
      <c r="Q502" s="413"/>
      <c r="R502" s="413"/>
      <c r="S502" s="413"/>
      <c r="T502" s="413"/>
      <c r="U502" s="413"/>
      <c r="V502" s="413"/>
      <c r="W502" s="413"/>
      <c r="X502" s="413"/>
      <c r="Y502" s="413"/>
      <c r="Z502" s="413"/>
      <c r="AA502" s="413"/>
      <c r="AB502" s="413"/>
      <c r="AC502" s="413"/>
      <c r="AD502" s="413"/>
      <c r="AE502" s="413"/>
      <c r="AF502" s="413"/>
      <c r="AG502" s="413"/>
    </row>
    <row r="503" spans="1:33" ht="14.25" customHeight="1">
      <c r="A503" s="190"/>
      <c r="C503" s="193"/>
      <c r="E503" s="193"/>
      <c r="G503" s="193"/>
      <c r="O503" s="272"/>
      <c r="P503" s="128"/>
    </row>
    <row r="504" spans="1:33" ht="14.25" customHeight="1">
      <c r="A504" s="190"/>
      <c r="C504" s="193" t="s">
        <v>77</v>
      </c>
      <c r="E504" s="193" t="s">
        <v>480</v>
      </c>
      <c r="G504" s="193" t="s">
        <v>101</v>
      </c>
      <c r="J504" s="193"/>
      <c r="O504" s="272"/>
      <c r="P504" s="128"/>
      <c r="R504" s="129"/>
      <c r="S504" s="129"/>
      <c r="T504" s="129"/>
      <c r="U504" s="129"/>
      <c r="V504" s="129"/>
      <c r="W504" s="129"/>
      <c r="X504" s="129"/>
      <c r="Y504" s="129"/>
      <c r="Z504" s="129"/>
      <c r="AA504" s="129"/>
      <c r="AB504" s="129"/>
      <c r="AC504" s="129"/>
      <c r="AD504" s="129"/>
      <c r="AE504" s="129"/>
      <c r="AF504" s="129"/>
      <c r="AG504" s="129"/>
    </row>
    <row r="505" spans="1:33" ht="14.25">
      <c r="A505" s="190"/>
      <c r="B505" s="258" t="s">
        <v>364</v>
      </c>
      <c r="C505" s="197">
        <v>973.26</v>
      </c>
      <c r="D505" s="128" t="s">
        <v>103</v>
      </c>
      <c r="E505" s="193">
        <v>15</v>
      </c>
      <c r="F505" s="128" t="s">
        <v>965</v>
      </c>
      <c r="G505" s="197">
        <f>C505*E505</f>
        <v>14598.9</v>
      </c>
      <c r="H505" s="128" t="s">
        <v>102</v>
      </c>
      <c r="J505" s="193"/>
      <c r="L505" s="294"/>
      <c r="O505" s="272"/>
      <c r="P505" s="128"/>
      <c r="R505" s="129"/>
      <c r="S505" s="129"/>
      <c r="T505" s="129"/>
      <c r="U505" s="129"/>
      <c r="V505" s="129"/>
      <c r="W505" s="129"/>
      <c r="X505" s="129"/>
      <c r="Y505" s="129"/>
      <c r="Z505" s="129"/>
      <c r="AA505" s="129"/>
      <c r="AB505" s="129"/>
      <c r="AC505" s="129"/>
      <c r="AD505" s="129"/>
      <c r="AE505" s="129"/>
      <c r="AF505" s="129"/>
      <c r="AG505" s="129"/>
    </row>
    <row r="506" spans="1:33" ht="14.25" customHeight="1">
      <c r="A506" s="190"/>
      <c r="B506" s="128" t="s">
        <v>382</v>
      </c>
      <c r="C506" s="197">
        <v>5.87</v>
      </c>
      <c r="D506" s="128" t="s">
        <v>103</v>
      </c>
      <c r="E506" s="193">
        <v>24.36</v>
      </c>
      <c r="F506" s="128" t="s">
        <v>965</v>
      </c>
      <c r="G506" s="197">
        <f>ROUNDUP(C506*E506,2)</f>
        <v>143</v>
      </c>
      <c r="H506" s="128" t="s">
        <v>102</v>
      </c>
      <c r="J506" s="193"/>
      <c r="O506" s="272"/>
      <c r="P506" s="128"/>
      <c r="R506" s="129"/>
      <c r="S506" s="129"/>
      <c r="T506" s="129"/>
      <c r="U506" s="129"/>
      <c r="V506" s="129"/>
      <c r="W506" s="129"/>
      <c r="X506" s="129"/>
      <c r="Y506" s="129"/>
      <c r="Z506" s="129"/>
      <c r="AA506" s="129"/>
      <c r="AB506" s="129"/>
      <c r="AC506" s="129"/>
      <c r="AD506" s="129"/>
      <c r="AE506" s="129"/>
      <c r="AF506" s="129"/>
      <c r="AG506" s="129"/>
    </row>
    <row r="507" spans="1:33" ht="14.25" customHeight="1">
      <c r="A507" s="190"/>
      <c r="B507" s="128" t="s">
        <v>1254</v>
      </c>
      <c r="C507" s="197">
        <v>98.92</v>
      </c>
      <c r="D507" s="128" t="s">
        <v>103</v>
      </c>
      <c r="E507" s="193">
        <f>1189.63/98.92</f>
        <v>12.026182773958755</v>
      </c>
      <c r="F507" s="128" t="s">
        <v>965</v>
      </c>
      <c r="G507" s="197">
        <f>ROUNDUP(C507*E507,2)</f>
        <v>1189.6300000000001</v>
      </c>
      <c r="H507" s="128" t="s">
        <v>102</v>
      </c>
      <c r="J507" s="193"/>
      <c r="O507" s="272"/>
      <c r="P507" s="128"/>
      <c r="R507" s="129"/>
      <c r="S507" s="129"/>
      <c r="T507" s="129"/>
      <c r="U507" s="129"/>
      <c r="V507" s="129"/>
      <c r="W507" s="129"/>
      <c r="X507" s="129"/>
      <c r="Y507" s="129"/>
      <c r="Z507" s="129"/>
      <c r="AA507" s="129"/>
      <c r="AB507" s="129"/>
      <c r="AC507" s="129"/>
      <c r="AD507" s="129"/>
      <c r="AE507" s="129"/>
      <c r="AF507" s="129"/>
      <c r="AG507" s="129"/>
    </row>
    <row r="508" spans="1:33" ht="14.25" customHeight="1">
      <c r="A508" s="190"/>
      <c r="C508" s="197"/>
      <c r="E508" s="193"/>
      <c r="G508" s="193"/>
      <c r="J508" s="193"/>
      <c r="M508" s="324"/>
      <c r="O508" s="272"/>
      <c r="P508" s="128"/>
      <c r="R508" s="129"/>
      <c r="S508" s="129"/>
      <c r="T508" s="129"/>
      <c r="U508" s="129"/>
      <c r="V508" s="129"/>
      <c r="W508" s="129"/>
      <c r="X508" s="129"/>
      <c r="Y508" s="129"/>
      <c r="Z508" s="129"/>
      <c r="AA508" s="129"/>
      <c r="AB508" s="129"/>
      <c r="AC508" s="129"/>
      <c r="AD508" s="129"/>
      <c r="AE508" s="129"/>
      <c r="AF508" s="129"/>
      <c r="AG508" s="129"/>
    </row>
    <row r="509" spans="1:33" ht="14.25" customHeight="1">
      <c r="A509" s="190"/>
      <c r="B509" s="191" t="s">
        <v>92</v>
      </c>
      <c r="C509" s="274">
        <f>SUM(G505:G507)</f>
        <v>15931.529999999999</v>
      </c>
      <c r="D509" s="191" t="s">
        <v>102</v>
      </c>
      <c r="G509" s="193"/>
      <c r="J509" s="193"/>
      <c r="O509" s="272"/>
      <c r="P509" s="128"/>
    </row>
    <row r="510" spans="1:33" ht="14.25" customHeight="1">
      <c r="A510" s="190"/>
      <c r="C510" s="193"/>
      <c r="E510" s="193"/>
      <c r="G510" s="193"/>
      <c r="J510" s="193"/>
      <c r="O510" s="272"/>
      <c r="P510" s="128"/>
    </row>
    <row r="511" spans="1:33" ht="14.25" customHeight="1">
      <c r="A511" s="245" t="s">
        <v>427</v>
      </c>
      <c r="B511" s="544" t="s">
        <v>446</v>
      </c>
      <c r="C511" s="550"/>
      <c r="D511" s="550"/>
      <c r="E511" s="550"/>
      <c r="F511" s="550"/>
      <c r="G511" s="550"/>
      <c r="H511" s="550"/>
      <c r="I511" s="550"/>
      <c r="J511" s="550"/>
      <c r="K511" s="550"/>
      <c r="L511" s="550"/>
      <c r="M511" s="550"/>
      <c r="N511" s="550"/>
      <c r="O511" s="252">
        <v>94216</v>
      </c>
      <c r="P511" s="350"/>
    </row>
    <row r="512" spans="1:33" ht="14.25" customHeight="1">
      <c r="A512" s="190"/>
      <c r="C512" s="193"/>
      <c r="E512" s="193"/>
      <c r="G512" s="193"/>
      <c r="O512" s="339"/>
      <c r="Q512" s="129"/>
    </row>
    <row r="513" spans="1:33" ht="14.25" customHeight="1">
      <c r="A513" s="190"/>
      <c r="B513" s="191"/>
      <c r="C513" s="193" t="s">
        <v>77</v>
      </c>
      <c r="E513" s="193"/>
      <c r="G513" s="193"/>
      <c r="O513" s="339"/>
      <c r="P513" s="347"/>
      <c r="Q513" s="129"/>
      <c r="R513" s="129"/>
      <c r="S513" s="129"/>
      <c r="T513" s="129"/>
      <c r="U513" s="129"/>
      <c r="V513" s="129"/>
      <c r="W513" s="129"/>
      <c r="X513" s="129"/>
      <c r="Y513" s="129"/>
      <c r="Z513" s="129"/>
      <c r="AA513" s="129"/>
      <c r="AB513" s="129"/>
      <c r="AC513" s="129"/>
      <c r="AD513" s="129"/>
      <c r="AE513" s="129"/>
      <c r="AF513" s="129"/>
      <c r="AG513" s="129"/>
    </row>
    <row r="514" spans="1:33" ht="14.25" customHeight="1">
      <c r="A514" s="190"/>
      <c r="B514" s="128" t="s">
        <v>1253</v>
      </c>
      <c r="C514" s="193">
        <v>973.26</v>
      </c>
      <c r="D514" s="128" t="s">
        <v>42</v>
      </c>
      <c r="E514" s="193"/>
      <c r="G514" s="193"/>
      <c r="O514" s="339"/>
      <c r="P514" s="347"/>
      <c r="Q514" s="129"/>
      <c r="R514" s="129"/>
      <c r="S514" s="129"/>
      <c r="T514" s="129"/>
      <c r="U514" s="129"/>
      <c r="V514" s="129"/>
      <c r="W514" s="129"/>
      <c r="X514" s="129"/>
      <c r="Y514" s="129"/>
      <c r="Z514" s="129"/>
      <c r="AA514" s="129"/>
      <c r="AB514" s="129"/>
      <c r="AC514" s="129"/>
      <c r="AD514" s="129"/>
      <c r="AE514" s="129"/>
      <c r="AF514" s="129"/>
      <c r="AG514" s="129"/>
    </row>
    <row r="515" spans="1:33" ht="14.25" customHeight="1">
      <c r="A515" s="190"/>
      <c r="B515" s="128" t="s">
        <v>1254</v>
      </c>
      <c r="C515" s="193">
        <v>98.92</v>
      </c>
      <c r="D515" s="128" t="s">
        <v>42</v>
      </c>
      <c r="E515" s="193"/>
      <c r="F515" s="294"/>
      <c r="G515" s="193"/>
      <c r="I515" s="294"/>
      <c r="O515" s="339"/>
      <c r="P515" s="347"/>
      <c r="Q515" s="129"/>
      <c r="R515" s="129"/>
      <c r="S515" s="129"/>
      <c r="T515" s="129"/>
      <c r="U515" s="129"/>
      <c r="V515" s="129"/>
      <c r="W515" s="129"/>
      <c r="X515" s="129"/>
      <c r="Y515" s="129"/>
      <c r="Z515" s="129"/>
      <c r="AA515" s="129"/>
      <c r="AB515" s="129"/>
      <c r="AC515" s="129"/>
      <c r="AD515" s="129"/>
      <c r="AE515" s="129"/>
      <c r="AF515" s="129"/>
      <c r="AG515" s="129"/>
    </row>
    <row r="516" spans="1:33" ht="14.25" customHeight="1">
      <c r="A516" s="190"/>
      <c r="B516" s="191"/>
      <c r="C516" s="193"/>
      <c r="E516" s="193"/>
      <c r="G516" s="193"/>
      <c r="O516" s="339"/>
      <c r="P516" s="347"/>
      <c r="Q516" s="129"/>
      <c r="R516" s="129"/>
      <c r="S516" s="129"/>
      <c r="T516" s="129"/>
      <c r="U516" s="129"/>
      <c r="V516" s="129"/>
      <c r="W516" s="129"/>
      <c r="X516" s="129"/>
      <c r="Y516" s="129"/>
      <c r="Z516" s="129"/>
      <c r="AA516" s="129"/>
      <c r="AB516" s="129"/>
      <c r="AC516" s="129"/>
      <c r="AD516" s="129"/>
      <c r="AE516" s="129"/>
      <c r="AF516" s="129"/>
      <c r="AG516" s="129"/>
    </row>
    <row r="517" spans="1:33" ht="14.25" customHeight="1">
      <c r="A517" s="199"/>
      <c r="B517" s="191" t="s">
        <v>92</v>
      </c>
      <c r="C517" s="274">
        <f>SUM(C514:C515)</f>
        <v>1072.18</v>
      </c>
      <c r="D517" s="191" t="s">
        <v>42</v>
      </c>
      <c r="E517" s="193"/>
      <c r="G517" s="193"/>
      <c r="I517" s="129"/>
      <c r="J517" s="187"/>
      <c r="K517" s="129"/>
      <c r="L517" s="129"/>
      <c r="M517" s="129"/>
      <c r="N517" s="129"/>
      <c r="O517" s="358"/>
      <c r="P517" s="347"/>
      <c r="Q517" s="129"/>
      <c r="R517" s="129"/>
      <c r="S517" s="129"/>
      <c r="T517" s="129"/>
      <c r="U517" s="129"/>
      <c r="V517" s="129"/>
      <c r="W517" s="129"/>
      <c r="X517" s="129"/>
      <c r="Y517" s="129"/>
      <c r="Z517" s="129"/>
      <c r="AA517" s="129"/>
      <c r="AB517" s="129"/>
      <c r="AC517" s="129"/>
      <c r="AD517" s="129"/>
      <c r="AE517" s="129"/>
      <c r="AF517" s="129"/>
      <c r="AG517" s="129"/>
    </row>
    <row r="518" spans="1:33" ht="15" customHeight="1">
      <c r="A518" s="199"/>
      <c r="C518" s="193"/>
      <c r="E518" s="193"/>
      <c r="G518" s="193"/>
      <c r="I518" s="129"/>
      <c r="J518" s="187"/>
      <c r="K518" s="129"/>
      <c r="L518" s="129"/>
      <c r="M518" s="129"/>
      <c r="N518" s="129"/>
      <c r="O518" s="358"/>
      <c r="P518" s="347"/>
      <c r="Q518" s="187"/>
    </row>
    <row r="519" spans="1:33" ht="49.5" customHeight="1">
      <c r="A519" s="245" t="s">
        <v>428</v>
      </c>
      <c r="B519" s="544" t="s">
        <v>1129</v>
      </c>
      <c r="C519" s="544"/>
      <c r="D519" s="544"/>
      <c r="E519" s="544"/>
      <c r="F519" s="544"/>
      <c r="G519" s="544"/>
      <c r="H519" s="544"/>
      <c r="I519" s="544"/>
      <c r="J519" s="544"/>
      <c r="K519" s="544"/>
      <c r="L519" s="544"/>
      <c r="M519" s="544"/>
      <c r="N519" s="544"/>
      <c r="O519" s="365" t="s">
        <v>1347</v>
      </c>
      <c r="P519" s="350" t="s">
        <v>1099</v>
      </c>
    </row>
    <row r="520" spans="1:33" ht="14.25" customHeight="1">
      <c r="A520" s="190"/>
      <c r="C520" s="193"/>
      <c r="E520" s="193"/>
      <c r="G520" s="193"/>
      <c r="O520" s="128"/>
      <c r="Q520" s="129"/>
    </row>
    <row r="521" spans="1:33" ht="14.25" customHeight="1">
      <c r="A521" s="190"/>
      <c r="B521" s="191"/>
      <c r="C521" s="193" t="s">
        <v>87</v>
      </c>
      <c r="E521" s="193"/>
      <c r="G521" s="193"/>
      <c r="O521" s="339"/>
      <c r="P521" s="347"/>
      <c r="Q521" s="129"/>
      <c r="R521" s="129"/>
      <c r="S521" s="129"/>
      <c r="T521" s="129"/>
      <c r="U521" s="129"/>
      <c r="V521" s="129"/>
      <c r="W521" s="129"/>
      <c r="X521" s="129"/>
      <c r="Y521" s="129"/>
      <c r="Z521" s="129"/>
      <c r="AA521" s="129"/>
      <c r="AB521" s="129"/>
      <c r="AC521" s="129"/>
      <c r="AD521" s="129"/>
      <c r="AE521" s="129"/>
      <c r="AF521" s="129"/>
      <c r="AG521" s="129"/>
    </row>
    <row r="522" spans="1:33" ht="14.25">
      <c r="A522" s="190"/>
      <c r="B522" s="258" t="s">
        <v>1130</v>
      </c>
      <c r="C522" s="193">
        <v>83.37</v>
      </c>
      <c r="D522" s="128" t="s">
        <v>42</v>
      </c>
      <c r="E522" s="251"/>
      <c r="G522" s="193"/>
      <c r="O522" s="339"/>
      <c r="P522" s="347"/>
      <c r="Q522" s="129"/>
      <c r="R522" s="129"/>
      <c r="S522" s="129"/>
      <c r="T522" s="129"/>
      <c r="U522" s="129"/>
      <c r="V522" s="129"/>
      <c r="W522" s="129"/>
      <c r="X522" s="129"/>
      <c r="Y522" s="129"/>
      <c r="Z522" s="129"/>
      <c r="AA522" s="129"/>
      <c r="AB522" s="129"/>
      <c r="AC522" s="129"/>
      <c r="AD522" s="129"/>
      <c r="AE522" s="129"/>
      <c r="AF522" s="129"/>
      <c r="AG522" s="129"/>
    </row>
    <row r="523" spans="1:33" ht="14.25" customHeight="1">
      <c r="A523" s="190"/>
      <c r="B523" s="191"/>
      <c r="C523" s="193"/>
      <c r="E523" s="193"/>
      <c r="G523" s="193"/>
      <c r="O523" s="339"/>
      <c r="P523" s="347"/>
      <c r="Q523" s="129"/>
      <c r="R523" s="129"/>
      <c r="S523" s="129"/>
      <c r="T523" s="129"/>
      <c r="U523" s="129"/>
      <c r="V523" s="129"/>
      <c r="W523" s="129"/>
      <c r="X523" s="129"/>
      <c r="Y523" s="129"/>
      <c r="Z523" s="129"/>
      <c r="AA523" s="129"/>
      <c r="AB523" s="129"/>
      <c r="AC523" s="129"/>
      <c r="AD523" s="129"/>
      <c r="AE523" s="129"/>
      <c r="AF523" s="129"/>
      <c r="AG523" s="129"/>
    </row>
    <row r="524" spans="1:33" ht="14.25" customHeight="1">
      <c r="A524" s="190"/>
      <c r="B524" s="191" t="s">
        <v>92</v>
      </c>
      <c r="C524" s="192">
        <f>SUM(C522:C522)</f>
        <v>83.37</v>
      </c>
      <c r="D524" s="191" t="s">
        <v>42</v>
      </c>
      <c r="E524" s="192"/>
      <c r="G524" s="193"/>
      <c r="O524" s="339"/>
      <c r="P524" s="347"/>
      <c r="Q524" s="129"/>
      <c r="R524" s="129"/>
      <c r="S524" s="129"/>
      <c r="T524" s="129"/>
      <c r="U524" s="129"/>
      <c r="V524" s="129"/>
      <c r="W524" s="129"/>
      <c r="X524" s="129"/>
      <c r="Y524" s="129"/>
      <c r="Z524" s="129"/>
      <c r="AA524" s="129"/>
      <c r="AB524" s="129"/>
      <c r="AC524" s="129"/>
      <c r="AD524" s="129"/>
      <c r="AE524" s="129"/>
      <c r="AF524" s="129"/>
      <c r="AG524" s="129"/>
    </row>
    <row r="525" spans="1:33" ht="14.25" customHeight="1">
      <c r="A525" s="190"/>
      <c r="C525" s="193"/>
      <c r="E525" s="193"/>
      <c r="G525" s="193"/>
      <c r="O525" s="128"/>
      <c r="P525" s="347"/>
      <c r="Q525" s="129"/>
      <c r="R525" s="129"/>
      <c r="S525" s="129"/>
      <c r="T525" s="129"/>
      <c r="U525" s="129"/>
      <c r="V525" s="129"/>
      <c r="W525" s="129"/>
      <c r="X525" s="129"/>
      <c r="Y525" s="129"/>
      <c r="Z525" s="129"/>
      <c r="AA525" s="129"/>
      <c r="AB525" s="129"/>
      <c r="AC525" s="129"/>
      <c r="AD525" s="129"/>
      <c r="AE525" s="129"/>
      <c r="AF525" s="129"/>
      <c r="AG525" s="129"/>
    </row>
    <row r="526" spans="1:33">
      <c r="A526" s="245" t="s">
        <v>429</v>
      </c>
      <c r="B526" s="544" t="s">
        <v>1131</v>
      </c>
      <c r="C526" s="544"/>
      <c r="D526" s="544"/>
      <c r="E526" s="544"/>
      <c r="F526" s="544"/>
      <c r="G526" s="544"/>
      <c r="H526" s="544"/>
      <c r="I526" s="544"/>
      <c r="J526" s="544"/>
      <c r="K526" s="544"/>
      <c r="L526" s="544"/>
      <c r="M526" s="544"/>
      <c r="N526" s="544"/>
      <c r="O526" s="366" t="s">
        <v>1348</v>
      </c>
      <c r="P526" s="350" t="s">
        <v>1099</v>
      </c>
    </row>
    <row r="527" spans="1:33" ht="14.25" customHeight="1">
      <c r="A527" s="190"/>
      <c r="C527" s="193"/>
      <c r="E527" s="193"/>
      <c r="G527" s="193"/>
      <c r="O527" s="252"/>
      <c r="Q527" s="129"/>
    </row>
    <row r="528" spans="1:33" ht="14.25" customHeight="1">
      <c r="A528" s="190"/>
      <c r="B528" s="191"/>
      <c r="C528" s="193" t="s">
        <v>87</v>
      </c>
      <c r="E528" s="193"/>
      <c r="G528" s="193"/>
      <c r="O528" s="339"/>
      <c r="P528" s="347"/>
      <c r="Q528" s="129"/>
      <c r="R528" s="129"/>
      <c r="S528" s="129"/>
      <c r="T528" s="129"/>
      <c r="U528" s="129"/>
      <c r="V528" s="129"/>
      <c r="W528" s="129"/>
      <c r="X528" s="129"/>
      <c r="Y528" s="129"/>
      <c r="Z528" s="129"/>
      <c r="AA528" s="129"/>
      <c r="AB528" s="129"/>
      <c r="AC528" s="129"/>
      <c r="AD528" s="129"/>
      <c r="AE528" s="129"/>
      <c r="AF528" s="129"/>
      <c r="AG528" s="129"/>
    </row>
    <row r="529" spans="1:33" ht="14.25">
      <c r="A529" s="190"/>
      <c r="B529" s="258" t="s">
        <v>1132</v>
      </c>
      <c r="C529" s="193">
        <f>5.16+6.2+3.1</f>
        <v>14.459999999999999</v>
      </c>
      <c r="D529" s="128" t="s">
        <v>42</v>
      </c>
      <c r="E529" s="251"/>
      <c r="G529" s="193"/>
      <c r="O529" s="339"/>
      <c r="P529" s="347"/>
      <c r="Q529" s="129"/>
      <c r="R529" s="129"/>
      <c r="S529" s="129"/>
      <c r="T529" s="129"/>
      <c r="U529" s="129"/>
      <c r="V529" s="129"/>
      <c r="W529" s="129"/>
      <c r="X529" s="129"/>
      <c r="Y529" s="129"/>
      <c r="Z529" s="129"/>
      <c r="AA529" s="129"/>
      <c r="AB529" s="129"/>
      <c r="AC529" s="129"/>
      <c r="AD529" s="129"/>
      <c r="AE529" s="129"/>
      <c r="AF529" s="129"/>
      <c r="AG529" s="129"/>
    </row>
    <row r="530" spans="1:33" ht="14.25" customHeight="1">
      <c r="A530" s="190"/>
      <c r="B530" s="191"/>
      <c r="C530" s="193"/>
      <c r="E530" s="193"/>
      <c r="G530" s="193"/>
      <c r="O530" s="339"/>
      <c r="P530" s="347"/>
      <c r="Q530" s="129"/>
      <c r="R530" s="129"/>
      <c r="S530" s="129"/>
      <c r="T530" s="129"/>
      <c r="U530" s="129"/>
      <c r="V530" s="129"/>
      <c r="W530" s="129"/>
      <c r="X530" s="129"/>
      <c r="Y530" s="129"/>
      <c r="Z530" s="129"/>
      <c r="AA530" s="129"/>
      <c r="AB530" s="129"/>
      <c r="AC530" s="129"/>
      <c r="AD530" s="129"/>
      <c r="AE530" s="129"/>
      <c r="AF530" s="129"/>
      <c r="AG530" s="129"/>
    </row>
    <row r="531" spans="1:33" ht="14.25" customHeight="1">
      <c r="A531" s="190"/>
      <c r="B531" s="191" t="s">
        <v>92</v>
      </c>
      <c r="C531" s="192">
        <f>SUM(C529:C529)</f>
        <v>14.459999999999999</v>
      </c>
      <c r="D531" s="191" t="s">
        <v>42</v>
      </c>
      <c r="E531" s="192"/>
      <c r="G531" s="193"/>
      <c r="O531" s="339"/>
      <c r="P531" s="347"/>
      <c r="Q531" s="129"/>
      <c r="R531" s="129"/>
      <c r="S531" s="129"/>
      <c r="T531" s="129"/>
      <c r="U531" s="129"/>
      <c r="V531" s="129"/>
      <c r="W531" s="129"/>
      <c r="X531" s="129"/>
      <c r="Y531" s="129"/>
      <c r="Z531" s="129"/>
      <c r="AA531" s="129"/>
      <c r="AB531" s="129"/>
      <c r="AC531" s="129"/>
      <c r="AD531" s="129"/>
      <c r="AE531" s="129"/>
      <c r="AF531" s="129"/>
      <c r="AG531" s="129"/>
    </row>
    <row r="532" spans="1:33" ht="14.25" customHeight="1">
      <c r="A532" s="190"/>
      <c r="C532" s="193"/>
      <c r="E532" s="193"/>
      <c r="G532" s="193"/>
      <c r="O532" s="339"/>
      <c r="P532" s="347"/>
      <c r="Q532" s="129"/>
      <c r="R532" s="129"/>
      <c r="S532" s="129"/>
      <c r="T532" s="129"/>
      <c r="U532" s="129"/>
      <c r="V532" s="129"/>
      <c r="W532" s="129"/>
      <c r="X532" s="129"/>
      <c r="Y532" s="129"/>
      <c r="Z532" s="129"/>
      <c r="AA532" s="129"/>
      <c r="AB532" s="129"/>
      <c r="AC532" s="129"/>
      <c r="AD532" s="129"/>
      <c r="AE532" s="129"/>
      <c r="AF532" s="129"/>
      <c r="AG532" s="129"/>
    </row>
    <row r="533" spans="1:33">
      <c r="A533" s="245" t="s">
        <v>430</v>
      </c>
      <c r="B533" s="544" t="s">
        <v>1133</v>
      </c>
      <c r="C533" s="544"/>
      <c r="D533" s="544"/>
      <c r="E533" s="544"/>
      <c r="F533" s="544"/>
      <c r="G533" s="544"/>
      <c r="H533" s="544"/>
      <c r="I533" s="544"/>
      <c r="J533" s="544"/>
      <c r="K533" s="544"/>
      <c r="L533" s="544"/>
      <c r="M533" s="544"/>
      <c r="N533" s="544"/>
      <c r="O533" s="366" t="s">
        <v>1349</v>
      </c>
      <c r="P533" s="350" t="s">
        <v>1099</v>
      </c>
    </row>
    <row r="534" spans="1:33" ht="14.25" customHeight="1">
      <c r="A534" s="190"/>
      <c r="C534" s="193"/>
      <c r="E534" s="193"/>
      <c r="G534" s="193"/>
      <c r="O534" s="252"/>
      <c r="Q534" s="129"/>
    </row>
    <row r="535" spans="1:33" ht="14.25" customHeight="1">
      <c r="A535" s="190"/>
      <c r="B535" s="191"/>
      <c r="C535" s="193" t="s">
        <v>87</v>
      </c>
      <c r="E535" s="193"/>
      <c r="G535" s="193"/>
      <c r="O535" s="339"/>
      <c r="P535" s="347"/>
      <c r="Q535" s="129"/>
      <c r="R535" s="129"/>
      <c r="S535" s="129"/>
      <c r="T535" s="129"/>
      <c r="U535" s="129"/>
      <c r="V535" s="129"/>
      <c r="W535" s="129"/>
      <c r="X535" s="129"/>
      <c r="Y535" s="129"/>
      <c r="Z535" s="129"/>
      <c r="AA535" s="129"/>
      <c r="AB535" s="129"/>
      <c r="AC535" s="129"/>
      <c r="AD535" s="129"/>
      <c r="AE535" s="129"/>
      <c r="AF535" s="129"/>
      <c r="AG535" s="129"/>
    </row>
    <row r="536" spans="1:33" ht="14.25">
      <c r="A536" s="190"/>
      <c r="B536" s="258" t="s">
        <v>1132</v>
      </c>
      <c r="C536" s="193">
        <f>5.16+6.2+3.1</f>
        <v>14.459999999999999</v>
      </c>
      <c r="D536" s="128" t="s">
        <v>42</v>
      </c>
      <c r="E536" s="251"/>
      <c r="G536" s="193"/>
      <c r="O536" s="339"/>
      <c r="P536" s="347"/>
      <c r="Q536" s="129"/>
      <c r="R536" s="129"/>
      <c r="S536" s="129"/>
      <c r="T536" s="129"/>
      <c r="U536" s="129"/>
      <c r="V536" s="129"/>
      <c r="W536" s="129"/>
      <c r="X536" s="129"/>
      <c r="Y536" s="129"/>
      <c r="Z536" s="129"/>
      <c r="AA536" s="129"/>
      <c r="AB536" s="129"/>
      <c r="AC536" s="129"/>
      <c r="AD536" s="129"/>
      <c r="AE536" s="129"/>
      <c r="AF536" s="129"/>
      <c r="AG536" s="129"/>
    </row>
    <row r="537" spans="1:33" ht="14.25" customHeight="1">
      <c r="A537" s="190"/>
      <c r="B537" s="191"/>
      <c r="C537" s="193"/>
      <c r="E537" s="193"/>
      <c r="G537" s="193"/>
      <c r="O537" s="339"/>
      <c r="P537" s="347"/>
      <c r="Q537" s="129"/>
      <c r="R537" s="129"/>
      <c r="S537" s="129"/>
      <c r="T537" s="129"/>
      <c r="U537" s="129"/>
      <c r="V537" s="129"/>
      <c r="W537" s="129"/>
      <c r="X537" s="129"/>
      <c r="Y537" s="129"/>
      <c r="Z537" s="129"/>
      <c r="AA537" s="129"/>
      <c r="AB537" s="129"/>
      <c r="AC537" s="129"/>
      <c r="AD537" s="129"/>
      <c r="AE537" s="129"/>
      <c r="AF537" s="129"/>
      <c r="AG537" s="129"/>
    </row>
    <row r="538" spans="1:33" ht="14.25" customHeight="1">
      <c r="A538" s="190"/>
      <c r="B538" s="191" t="s">
        <v>92</v>
      </c>
      <c r="C538" s="192">
        <f>SUM(C536:C536)</f>
        <v>14.459999999999999</v>
      </c>
      <c r="D538" s="191" t="s">
        <v>42</v>
      </c>
      <c r="E538" s="192"/>
      <c r="G538" s="193"/>
      <c r="O538" s="339"/>
      <c r="P538" s="347"/>
      <c r="Q538" s="129"/>
      <c r="R538" s="129"/>
      <c r="S538" s="129"/>
      <c r="T538" s="129"/>
      <c r="U538" s="129"/>
      <c r="V538" s="129"/>
      <c r="W538" s="129"/>
      <c r="X538" s="129"/>
      <c r="Y538" s="129"/>
      <c r="Z538" s="129"/>
      <c r="AA538" s="129"/>
      <c r="AB538" s="129"/>
      <c r="AC538" s="129"/>
      <c r="AD538" s="129"/>
      <c r="AE538" s="129"/>
      <c r="AF538" s="129"/>
      <c r="AG538" s="129"/>
    </row>
    <row r="539" spans="1:33" ht="14.25" customHeight="1">
      <c r="A539" s="190"/>
      <c r="C539" s="193"/>
      <c r="E539" s="193"/>
      <c r="G539" s="193"/>
      <c r="O539" s="339"/>
      <c r="P539" s="347"/>
      <c r="Q539" s="129"/>
      <c r="R539" s="129"/>
      <c r="S539" s="129"/>
      <c r="T539" s="129"/>
      <c r="U539" s="129"/>
      <c r="V539" s="129"/>
      <c r="W539" s="129"/>
      <c r="X539" s="129"/>
      <c r="Y539" s="129"/>
      <c r="Z539" s="129"/>
      <c r="AA539" s="129"/>
      <c r="AB539" s="129"/>
      <c r="AC539" s="129"/>
      <c r="AD539" s="129"/>
      <c r="AE539" s="129"/>
      <c r="AF539" s="129"/>
      <c r="AG539" s="129"/>
    </row>
    <row r="540" spans="1:33">
      <c r="A540" s="245" t="s">
        <v>431</v>
      </c>
      <c r="B540" s="544" t="s">
        <v>973</v>
      </c>
      <c r="C540" s="550"/>
      <c r="D540" s="550"/>
      <c r="E540" s="550"/>
      <c r="F540" s="550"/>
      <c r="G540" s="550"/>
      <c r="H540" s="550"/>
      <c r="I540" s="550"/>
      <c r="J540" s="550"/>
      <c r="K540" s="550"/>
      <c r="L540" s="550"/>
      <c r="M540" s="550"/>
      <c r="N540" s="550"/>
      <c r="O540" s="252">
        <v>94231</v>
      </c>
      <c r="P540" s="350"/>
    </row>
    <row r="541" spans="1:33" ht="14.25" customHeight="1">
      <c r="A541" s="190"/>
      <c r="C541" s="193"/>
      <c r="E541" s="193"/>
      <c r="G541" s="193"/>
      <c r="O541" s="339"/>
      <c r="Q541" s="129"/>
    </row>
    <row r="542" spans="1:33" ht="14.25" customHeight="1">
      <c r="A542" s="190"/>
      <c r="B542" s="191"/>
      <c r="C542" s="193" t="s">
        <v>75</v>
      </c>
      <c r="E542" s="193"/>
      <c r="G542" s="193"/>
      <c r="O542" s="339"/>
      <c r="P542" s="347"/>
      <c r="Q542" s="129"/>
      <c r="R542" s="129"/>
      <c r="S542" s="129"/>
      <c r="T542" s="129"/>
      <c r="U542" s="129"/>
      <c r="V542" s="129"/>
      <c r="W542" s="129"/>
      <c r="X542" s="129"/>
      <c r="Y542" s="129"/>
      <c r="Z542" s="129"/>
      <c r="AA542" s="129"/>
      <c r="AB542" s="129"/>
      <c r="AC542" s="129"/>
      <c r="AD542" s="129"/>
      <c r="AE542" s="129"/>
      <c r="AF542" s="129"/>
      <c r="AG542" s="129"/>
    </row>
    <row r="543" spans="1:33" ht="14.25" customHeight="1">
      <c r="A543" s="190"/>
      <c r="B543" s="191" t="s">
        <v>92</v>
      </c>
      <c r="C543" s="192">
        <v>258.39999999999998</v>
      </c>
      <c r="D543" s="191" t="s">
        <v>50</v>
      </c>
      <c r="E543" s="193"/>
      <c r="G543" s="193"/>
      <c r="O543" s="339"/>
      <c r="P543" s="347"/>
      <c r="Q543" s="129"/>
      <c r="R543" s="129"/>
      <c r="S543" s="129"/>
      <c r="T543" s="129"/>
      <c r="U543" s="129"/>
      <c r="V543" s="129"/>
      <c r="W543" s="129"/>
      <c r="X543" s="129"/>
      <c r="Y543" s="129"/>
      <c r="Z543" s="129"/>
      <c r="AA543" s="129"/>
      <c r="AB543" s="129"/>
      <c r="AC543" s="129"/>
      <c r="AD543" s="129"/>
      <c r="AE543" s="129"/>
      <c r="AF543" s="129"/>
      <c r="AG543" s="129"/>
    </row>
    <row r="544" spans="1:33" ht="14.25" customHeight="1">
      <c r="A544" s="199"/>
      <c r="C544" s="193"/>
      <c r="E544" s="193"/>
      <c r="G544" s="193"/>
      <c r="I544" s="129"/>
      <c r="J544" s="187"/>
      <c r="K544" s="129"/>
      <c r="L544" s="129"/>
      <c r="M544" s="129"/>
      <c r="N544" s="129"/>
      <c r="O544" s="358"/>
      <c r="P544" s="347"/>
    </row>
    <row r="545" spans="1:33" ht="14.25" customHeight="1">
      <c r="A545" s="245" t="s">
        <v>432</v>
      </c>
      <c r="B545" s="544" t="s">
        <v>155</v>
      </c>
      <c r="C545" s="550"/>
      <c r="D545" s="550"/>
      <c r="E545" s="550"/>
      <c r="F545" s="550"/>
      <c r="G545" s="550"/>
      <c r="H545" s="550"/>
      <c r="I545" s="550"/>
      <c r="J545" s="550"/>
      <c r="K545" s="550"/>
      <c r="L545" s="550"/>
      <c r="M545" s="550"/>
      <c r="N545" s="550"/>
      <c r="O545" s="252">
        <v>96486</v>
      </c>
      <c r="P545" s="350"/>
    </row>
    <row r="546" spans="1:33" ht="14.25" customHeight="1">
      <c r="A546" s="190"/>
      <c r="C546" s="193"/>
      <c r="E546" s="193"/>
      <c r="G546" s="193"/>
      <c r="O546" s="339"/>
      <c r="Q546" s="129"/>
    </row>
    <row r="547" spans="1:33" ht="14.25" customHeight="1">
      <c r="A547" s="190"/>
      <c r="B547" s="191"/>
      <c r="C547" s="193" t="s">
        <v>77</v>
      </c>
      <c r="E547" s="193"/>
      <c r="O547" s="339"/>
      <c r="P547" s="347"/>
      <c r="Q547" s="129"/>
      <c r="R547" s="129"/>
      <c r="S547" s="129"/>
      <c r="T547" s="129"/>
      <c r="U547" s="129"/>
      <c r="V547" s="129"/>
      <c r="W547" s="129"/>
      <c r="X547" s="129"/>
      <c r="Y547" s="129"/>
      <c r="Z547" s="129"/>
      <c r="AA547" s="129"/>
      <c r="AB547" s="129"/>
      <c r="AC547" s="129"/>
      <c r="AD547" s="129"/>
      <c r="AE547" s="129"/>
      <c r="AF547" s="129"/>
      <c r="AG547" s="129"/>
    </row>
    <row r="548" spans="1:33" ht="15" customHeight="1">
      <c r="A548" s="190"/>
      <c r="B548" s="191" t="s">
        <v>92</v>
      </c>
      <c r="C548" s="274">
        <v>924.4</v>
      </c>
      <c r="D548" s="191" t="s">
        <v>117</v>
      </c>
      <c r="E548" s="193"/>
      <c r="G548" s="193"/>
      <c r="I548" s="193"/>
      <c r="O548" s="339"/>
    </row>
    <row r="549" spans="1:33" ht="15" customHeight="1">
      <c r="A549" s="190"/>
      <c r="C549" s="193"/>
      <c r="E549" s="193"/>
      <c r="G549" s="193"/>
      <c r="I549" s="193"/>
      <c r="O549" s="339"/>
    </row>
    <row r="550" spans="1:33" ht="15" customHeight="1">
      <c r="A550" s="245" t="s">
        <v>433</v>
      </c>
      <c r="B550" s="553" t="s">
        <v>1297</v>
      </c>
      <c r="C550" s="550"/>
      <c r="D550" s="550"/>
      <c r="E550" s="550"/>
      <c r="F550" s="550"/>
      <c r="G550" s="550"/>
      <c r="H550" s="550"/>
      <c r="I550" s="550"/>
      <c r="J550" s="550"/>
      <c r="K550" s="550"/>
      <c r="L550" s="550"/>
      <c r="M550" s="550"/>
      <c r="N550" s="550"/>
      <c r="O550" s="252">
        <v>94228</v>
      </c>
      <c r="P550" s="350"/>
    </row>
    <row r="551" spans="1:33" ht="14.25" customHeight="1">
      <c r="A551" s="190"/>
      <c r="C551" s="193"/>
      <c r="E551" s="193"/>
      <c r="G551" s="193"/>
      <c r="O551" s="339"/>
      <c r="Q551" s="129"/>
      <c r="R551" s="129"/>
      <c r="S551" s="129"/>
      <c r="T551" s="129"/>
      <c r="U551" s="129"/>
      <c r="V551" s="129"/>
      <c r="W551" s="129"/>
      <c r="X551" s="129"/>
      <c r="Y551" s="129"/>
      <c r="Z551" s="129"/>
      <c r="AA551" s="129"/>
      <c r="AB551" s="129"/>
      <c r="AC551" s="129"/>
      <c r="AD551" s="129"/>
      <c r="AE551" s="129"/>
      <c r="AF551" s="129"/>
      <c r="AG551" s="129"/>
    </row>
    <row r="552" spans="1:33" ht="14.25" customHeight="1">
      <c r="A552" s="190"/>
      <c r="C552" s="193" t="s">
        <v>75</v>
      </c>
      <c r="E552" s="193"/>
      <c r="G552" s="193"/>
      <c r="O552" s="339"/>
      <c r="P552" s="347"/>
      <c r="Q552" s="129"/>
      <c r="R552" s="129"/>
      <c r="S552" s="129"/>
      <c r="T552" s="129"/>
      <c r="U552" s="129"/>
      <c r="V552" s="129"/>
      <c r="W552" s="129"/>
      <c r="X552" s="129"/>
      <c r="Y552" s="129"/>
      <c r="Z552" s="129"/>
      <c r="AA552" s="129"/>
      <c r="AB552" s="129"/>
      <c r="AC552" s="129"/>
      <c r="AD552" s="129"/>
      <c r="AE552" s="129"/>
      <c r="AF552" s="129"/>
      <c r="AG552" s="129"/>
    </row>
    <row r="553" spans="1:33" ht="15" customHeight="1">
      <c r="A553" s="199"/>
      <c r="B553" s="191" t="s">
        <v>92</v>
      </c>
      <c r="C553" s="274">
        <f>6.4+6.54+6.4+17.36</f>
        <v>36.700000000000003</v>
      </c>
      <c r="D553" s="191" t="s">
        <v>93</v>
      </c>
      <c r="E553" s="193"/>
      <c r="F553" s="197"/>
      <c r="G553" s="193"/>
      <c r="I553" s="129"/>
      <c r="J553" s="187"/>
      <c r="K553" s="129"/>
      <c r="L553" s="129"/>
      <c r="M553" s="129"/>
      <c r="N553" s="129"/>
      <c r="O553" s="358"/>
      <c r="P553" s="347"/>
    </row>
    <row r="554" spans="1:33" ht="15" customHeight="1">
      <c r="A554" s="190"/>
      <c r="C554" s="193"/>
      <c r="E554" s="193"/>
      <c r="G554" s="193"/>
      <c r="O554" s="339"/>
    </row>
    <row r="555" spans="1:33" ht="15" customHeight="1">
      <c r="A555" s="245" t="s">
        <v>1346</v>
      </c>
      <c r="B555" s="553" t="s">
        <v>974</v>
      </c>
      <c r="C555" s="550"/>
      <c r="D555" s="550"/>
      <c r="E555" s="550"/>
      <c r="F555" s="550"/>
      <c r="G555" s="550"/>
      <c r="H555" s="550"/>
      <c r="I555" s="550"/>
      <c r="J555" s="550"/>
      <c r="K555" s="550"/>
      <c r="L555" s="550"/>
      <c r="M555" s="550"/>
      <c r="N555" s="550"/>
      <c r="O555" s="252">
        <v>94229</v>
      </c>
      <c r="P555" s="350"/>
    </row>
    <row r="556" spans="1:33" ht="14.25" customHeight="1">
      <c r="A556" s="190"/>
      <c r="C556" s="193"/>
      <c r="E556" s="193"/>
      <c r="G556" s="193"/>
      <c r="O556" s="339"/>
      <c r="Q556" s="129"/>
      <c r="R556" s="129"/>
      <c r="S556" s="129"/>
      <c r="T556" s="129"/>
      <c r="U556" s="129"/>
      <c r="V556" s="129"/>
      <c r="W556" s="129"/>
      <c r="X556" s="129"/>
      <c r="Y556" s="129"/>
      <c r="Z556" s="129"/>
      <c r="AA556" s="129"/>
      <c r="AB556" s="129"/>
      <c r="AC556" s="129"/>
      <c r="AD556" s="129"/>
      <c r="AE556" s="129"/>
      <c r="AF556" s="129"/>
      <c r="AG556" s="129"/>
    </row>
    <row r="557" spans="1:33" ht="14.25" customHeight="1">
      <c r="A557" s="190"/>
      <c r="C557" s="193" t="s">
        <v>75</v>
      </c>
      <c r="E557" s="193"/>
      <c r="G557" s="193"/>
      <c r="O557" s="339"/>
      <c r="P557" s="347"/>
      <c r="Q557" s="129"/>
      <c r="R557" s="129"/>
      <c r="S557" s="129"/>
      <c r="T557" s="129"/>
      <c r="U557" s="129"/>
      <c r="V557" s="129"/>
      <c r="W557" s="129"/>
      <c r="X557" s="129"/>
      <c r="Y557" s="129"/>
      <c r="Z557" s="129"/>
      <c r="AA557" s="129"/>
      <c r="AB557" s="129"/>
      <c r="AC557" s="129"/>
      <c r="AD557" s="129"/>
      <c r="AE557" s="129"/>
      <c r="AF557" s="129"/>
      <c r="AG557" s="129"/>
    </row>
    <row r="558" spans="1:33" ht="15" customHeight="1">
      <c r="A558" s="199"/>
      <c r="B558" s="191" t="s">
        <v>92</v>
      </c>
      <c r="C558" s="274">
        <f>36.4+36.4+15+14.7</f>
        <v>102.5</v>
      </c>
      <c r="D558" s="191" t="s">
        <v>93</v>
      </c>
      <c r="E558" s="193"/>
      <c r="F558" s="197"/>
      <c r="G558" s="193"/>
      <c r="I558" s="129"/>
      <c r="J558" s="187"/>
      <c r="K558" s="129"/>
      <c r="L558" s="129"/>
      <c r="M558" s="129"/>
      <c r="N558" s="129"/>
      <c r="O558" s="358"/>
      <c r="P558" s="347"/>
    </row>
    <row r="559" spans="1:33" ht="15" customHeight="1">
      <c r="A559" s="190"/>
      <c r="C559" s="193"/>
      <c r="E559" s="193"/>
      <c r="G559" s="193"/>
      <c r="O559" s="339"/>
    </row>
    <row r="560" spans="1:33" ht="15" customHeight="1">
      <c r="A560" s="247" t="s">
        <v>898</v>
      </c>
      <c r="B560" s="553" t="s">
        <v>953</v>
      </c>
      <c r="C560" s="550"/>
      <c r="D560" s="550"/>
      <c r="E560" s="550"/>
      <c r="F560" s="550"/>
      <c r="G560" s="550"/>
      <c r="H560" s="550"/>
      <c r="I560" s="550"/>
      <c r="J560" s="550"/>
      <c r="K560" s="550"/>
      <c r="L560" s="550"/>
      <c r="M560" s="550"/>
      <c r="N560" s="550"/>
      <c r="O560" s="252" t="s">
        <v>1012</v>
      </c>
      <c r="P560" s="350" t="s">
        <v>74</v>
      </c>
    </row>
    <row r="561" spans="1:33" ht="14.25" customHeight="1">
      <c r="A561" s="190"/>
      <c r="O561" s="339"/>
      <c r="Q561" s="129"/>
    </row>
    <row r="562" spans="1:33" ht="14.25" customHeight="1">
      <c r="A562" s="190"/>
      <c r="C562" s="193" t="s">
        <v>75</v>
      </c>
      <c r="E562" s="193"/>
      <c r="G562" s="193"/>
      <c r="O562" s="339"/>
      <c r="P562" s="347"/>
      <c r="Q562" s="129"/>
      <c r="R562" s="129"/>
      <c r="S562" s="129"/>
      <c r="T562" s="129"/>
      <c r="U562" s="129"/>
      <c r="V562" s="129"/>
      <c r="W562" s="129"/>
      <c r="X562" s="129"/>
      <c r="Y562" s="129"/>
      <c r="Z562" s="129"/>
      <c r="AA562" s="129"/>
      <c r="AB562" s="129"/>
      <c r="AC562" s="129"/>
      <c r="AD562" s="129"/>
      <c r="AE562" s="129"/>
      <c r="AF562" s="129"/>
      <c r="AG562" s="129"/>
    </row>
    <row r="563" spans="1:33" ht="14.25" customHeight="1">
      <c r="A563" s="190"/>
      <c r="B563" s="191" t="s">
        <v>92</v>
      </c>
      <c r="C563" s="192">
        <f>105.18+130.91</f>
        <v>236.09</v>
      </c>
      <c r="D563" s="191" t="s">
        <v>50</v>
      </c>
      <c r="E563" s="193"/>
      <c r="G563" s="193"/>
      <c r="O563" s="339"/>
    </row>
    <row r="564" spans="1:33" ht="15" customHeight="1">
      <c r="A564" s="190"/>
      <c r="C564" s="193"/>
      <c r="E564" s="193"/>
      <c r="G564" s="193"/>
      <c r="O564" s="339"/>
    </row>
    <row r="565" spans="1:33">
      <c r="A565" s="247" t="s">
        <v>899</v>
      </c>
      <c r="B565" s="548" t="s">
        <v>447</v>
      </c>
      <c r="C565" s="548"/>
      <c r="D565" s="548"/>
      <c r="E565" s="548"/>
      <c r="F565" s="548"/>
      <c r="G565" s="548"/>
      <c r="H565" s="548"/>
      <c r="I565" s="548"/>
      <c r="J565" s="548"/>
      <c r="K565" s="548"/>
      <c r="L565" s="548"/>
      <c r="M565" s="548"/>
      <c r="N565" s="548"/>
      <c r="O565" s="367" t="s">
        <v>1013</v>
      </c>
      <c r="P565" s="350" t="s">
        <v>74</v>
      </c>
    </row>
    <row r="566" spans="1:33" ht="14.25" customHeight="1">
      <c r="A566" s="199"/>
      <c r="C566" s="193"/>
      <c r="E566" s="193"/>
      <c r="G566" s="193"/>
      <c r="O566" s="339"/>
      <c r="Q566" s="129"/>
    </row>
    <row r="567" spans="1:33" ht="14.25" customHeight="1">
      <c r="A567" s="199"/>
      <c r="B567" s="191"/>
      <c r="C567" s="193" t="s">
        <v>77</v>
      </c>
      <c r="E567" s="193"/>
      <c r="G567" s="193"/>
      <c r="O567" s="339"/>
      <c r="P567" s="347"/>
      <c r="Q567" s="129"/>
      <c r="R567" s="129"/>
      <c r="S567" s="129"/>
      <c r="T567" s="129"/>
      <c r="U567" s="129"/>
      <c r="V567" s="129"/>
      <c r="W567" s="129"/>
      <c r="X567" s="129"/>
      <c r="Y567" s="129"/>
      <c r="Z567" s="129"/>
      <c r="AA567" s="129"/>
      <c r="AB567" s="129"/>
      <c r="AC567" s="129"/>
      <c r="AD567" s="129"/>
      <c r="AE567" s="129"/>
      <c r="AF567" s="129"/>
      <c r="AG567" s="129"/>
    </row>
    <row r="568" spans="1:33" ht="14.25">
      <c r="A568" s="190"/>
      <c r="B568" s="128" t="s">
        <v>285</v>
      </c>
      <c r="C568" s="193">
        <v>26.88</v>
      </c>
      <c r="D568" s="128" t="s">
        <v>42</v>
      </c>
      <c r="E568" s="193"/>
      <c r="G568" s="193"/>
      <c r="O568" s="339"/>
    </row>
    <row r="569" spans="1:33" ht="14.25">
      <c r="A569" s="190"/>
      <c r="B569" s="128" t="s">
        <v>1190</v>
      </c>
      <c r="C569" s="193">
        <v>23.8</v>
      </c>
      <c r="D569" s="128" t="s">
        <v>42</v>
      </c>
      <c r="E569" s="193"/>
      <c r="G569" s="193"/>
      <c r="O569" s="339"/>
    </row>
    <row r="570" spans="1:33" ht="14.25">
      <c r="A570" s="190"/>
      <c r="C570" s="193"/>
      <c r="E570" s="193"/>
      <c r="G570" s="193"/>
      <c r="O570" s="339"/>
    </row>
    <row r="571" spans="1:33" s="191" customFormat="1">
      <c r="A571" s="290"/>
      <c r="B571" s="191" t="s">
        <v>92</v>
      </c>
      <c r="C571" s="192">
        <f>SUM(C568:C569)</f>
        <v>50.68</v>
      </c>
      <c r="D571" s="191" t="s">
        <v>42</v>
      </c>
      <c r="E571" s="192"/>
      <c r="G571" s="192"/>
      <c r="O571" s="351"/>
      <c r="P571" s="273"/>
    </row>
    <row r="572" spans="1:33" ht="15" customHeight="1">
      <c r="A572" s="190"/>
      <c r="C572" s="193"/>
      <c r="E572" s="193"/>
      <c r="G572" s="193"/>
      <c r="O572" s="339"/>
    </row>
    <row r="573" spans="1:33" s="399" customFormat="1" ht="33" customHeight="1">
      <c r="A573" s="396" t="s">
        <v>900</v>
      </c>
      <c r="B573" s="570" t="s">
        <v>2506</v>
      </c>
      <c r="C573" s="571"/>
      <c r="D573" s="571"/>
      <c r="E573" s="571"/>
      <c r="F573" s="571"/>
      <c r="G573" s="571"/>
      <c r="H573" s="571"/>
      <c r="I573" s="571"/>
      <c r="J573" s="571"/>
      <c r="K573" s="571"/>
      <c r="L573" s="571"/>
      <c r="M573" s="571"/>
      <c r="N573" s="571"/>
      <c r="O573" s="397" t="s">
        <v>2507</v>
      </c>
      <c r="P573" s="398"/>
      <c r="S573" s="400"/>
      <c r="T573" s="400"/>
      <c r="U573" s="400"/>
      <c r="V573" s="400"/>
      <c r="W573" s="400"/>
      <c r="X573" s="400"/>
      <c r="Y573" s="400"/>
      <c r="Z573" s="400"/>
      <c r="AA573" s="400"/>
      <c r="AB573" s="400"/>
      <c r="AC573" s="400"/>
      <c r="AD573" s="400"/>
      <c r="AE573" s="400"/>
      <c r="AF573" s="400"/>
      <c r="AG573" s="400"/>
    </row>
    <row r="574" spans="1:33" s="399" customFormat="1" ht="14.25" customHeight="1">
      <c r="A574" s="401"/>
      <c r="C574" s="402"/>
      <c r="E574" s="402"/>
      <c r="G574" s="402"/>
      <c r="O574" s="403"/>
      <c r="P574" s="404"/>
      <c r="Q574" s="400"/>
      <c r="S574" s="400"/>
      <c r="T574" s="400"/>
      <c r="U574" s="400"/>
      <c r="V574" s="400"/>
      <c r="W574" s="400"/>
      <c r="X574" s="400"/>
      <c r="Y574" s="400"/>
      <c r="Z574" s="400"/>
      <c r="AA574" s="400"/>
      <c r="AB574" s="400"/>
      <c r="AC574" s="400"/>
      <c r="AD574" s="400"/>
      <c r="AE574" s="400"/>
      <c r="AF574" s="400"/>
      <c r="AG574" s="400"/>
    </row>
    <row r="575" spans="1:33" s="399" customFormat="1" ht="14.25" customHeight="1">
      <c r="A575" s="401"/>
      <c r="B575" s="399" t="s">
        <v>1395</v>
      </c>
      <c r="C575" s="402"/>
      <c r="E575" s="402"/>
      <c r="G575" s="402"/>
      <c r="O575" s="403"/>
      <c r="P575" s="404"/>
      <c r="Q575" s="400"/>
      <c r="S575" s="400"/>
      <c r="T575" s="400"/>
      <c r="U575" s="400"/>
      <c r="V575" s="400"/>
      <c r="W575" s="400"/>
      <c r="X575" s="400"/>
      <c r="Y575" s="400"/>
      <c r="Z575" s="400"/>
      <c r="AA575" s="400"/>
      <c r="AB575" s="400"/>
      <c r="AC575" s="400"/>
      <c r="AD575" s="400"/>
      <c r="AE575" s="400"/>
      <c r="AF575" s="400"/>
      <c r="AG575" s="400"/>
    </row>
    <row r="576" spans="1:33" s="399" customFormat="1" ht="14.25" customHeight="1">
      <c r="A576" s="401"/>
      <c r="C576" s="402"/>
      <c r="E576" s="402"/>
      <c r="G576" s="402"/>
      <c r="O576" s="403"/>
      <c r="P576" s="404"/>
      <c r="Q576" s="400"/>
      <c r="S576" s="400"/>
      <c r="T576" s="400"/>
      <c r="U576" s="400"/>
      <c r="V576" s="400"/>
      <c r="W576" s="400"/>
      <c r="X576" s="400"/>
      <c r="Y576" s="400"/>
      <c r="Z576" s="400"/>
      <c r="AA576" s="400"/>
      <c r="AB576" s="400"/>
      <c r="AC576" s="400"/>
      <c r="AD576" s="400"/>
      <c r="AE576" s="400"/>
      <c r="AF576" s="400"/>
      <c r="AG576" s="400"/>
    </row>
    <row r="577" spans="1:33" s="399" customFormat="1" ht="14.25" customHeight="1">
      <c r="A577" s="401"/>
      <c r="B577" s="405"/>
      <c r="C577" s="402" t="s">
        <v>101</v>
      </c>
      <c r="E577" s="402" t="s">
        <v>1273</v>
      </c>
      <c r="G577" s="402"/>
      <c r="O577" s="403"/>
      <c r="P577" s="406"/>
      <c r="Q577" s="400"/>
      <c r="R577" s="400"/>
      <c r="S577" s="400"/>
      <c r="T577" s="400"/>
      <c r="U577" s="400"/>
      <c r="V577" s="400"/>
      <c r="W577" s="400"/>
      <c r="X577" s="400"/>
      <c r="Y577" s="400"/>
      <c r="Z577" s="400"/>
      <c r="AA577" s="400"/>
      <c r="AB577" s="400"/>
      <c r="AC577" s="400"/>
      <c r="AD577" s="400"/>
      <c r="AE577" s="400"/>
      <c r="AF577" s="400"/>
      <c r="AG577" s="400"/>
    </row>
    <row r="578" spans="1:33" s="399" customFormat="1" ht="14.25">
      <c r="A578" s="401"/>
      <c r="B578" s="407" t="s">
        <v>1274</v>
      </c>
      <c r="C578" s="408">
        <f>C509</f>
        <v>15931.529999999999</v>
      </c>
      <c r="D578" s="408" t="s">
        <v>1275</v>
      </c>
      <c r="E578" s="408">
        <v>0.22189999999999999</v>
      </c>
      <c r="F578" s="408" t="s">
        <v>1276</v>
      </c>
      <c r="G578" s="408">
        <f>ROUND(C578*E578,2)</f>
        <v>3535.21</v>
      </c>
      <c r="H578" s="408" t="s">
        <v>42</v>
      </c>
      <c r="I578" s="408"/>
      <c r="J578" s="408"/>
      <c r="K578" s="408"/>
      <c r="L578" s="408"/>
      <c r="M578" s="408"/>
      <c r="N578" s="408"/>
      <c r="O578" s="403"/>
      <c r="P578" s="406"/>
      <c r="Q578" s="400"/>
      <c r="R578" s="400"/>
    </row>
    <row r="579" spans="1:33" s="399" customFormat="1" ht="14.25" customHeight="1">
      <c r="A579" s="401"/>
      <c r="B579" s="409"/>
      <c r="C579" s="408"/>
      <c r="D579" s="408"/>
      <c r="E579" s="408"/>
      <c r="F579" s="408"/>
      <c r="G579" s="408"/>
      <c r="H579" s="408"/>
      <c r="I579" s="408"/>
      <c r="J579" s="408"/>
      <c r="K579" s="408"/>
      <c r="L579" s="408"/>
      <c r="M579" s="408"/>
      <c r="N579" s="408"/>
      <c r="O579" s="403"/>
      <c r="P579" s="406"/>
      <c r="Q579" s="400"/>
      <c r="R579" s="400"/>
    </row>
    <row r="580" spans="1:33" s="399" customFormat="1" ht="14.25" customHeight="1">
      <c r="A580" s="401"/>
      <c r="B580" s="409" t="s">
        <v>92</v>
      </c>
      <c r="C580" s="409">
        <f>G578</f>
        <v>3535.21</v>
      </c>
      <c r="D580" s="409" t="s">
        <v>42</v>
      </c>
      <c r="E580" s="408"/>
      <c r="F580" s="408"/>
      <c r="G580" s="408"/>
      <c r="H580" s="408"/>
      <c r="I580" s="408"/>
      <c r="J580" s="408"/>
      <c r="K580" s="408"/>
      <c r="L580" s="408"/>
      <c r="M580" s="408"/>
      <c r="N580" s="408"/>
      <c r="O580" s="403"/>
      <c r="P580" s="406"/>
      <c r="Q580" s="400"/>
      <c r="R580" s="400"/>
    </row>
    <row r="581" spans="1:33" s="399" customFormat="1" ht="14.25" customHeight="1">
      <c r="A581" s="401"/>
      <c r="B581" s="408"/>
      <c r="C581" s="408"/>
      <c r="D581" s="408"/>
      <c r="E581" s="408"/>
      <c r="F581" s="408"/>
      <c r="G581" s="408"/>
      <c r="H581" s="408"/>
      <c r="I581" s="408"/>
      <c r="J581" s="408"/>
      <c r="K581" s="408"/>
      <c r="L581" s="408"/>
      <c r="M581" s="408"/>
      <c r="N581" s="408"/>
      <c r="O581" s="403"/>
      <c r="P581" s="406"/>
      <c r="Q581" s="400"/>
      <c r="R581" s="400"/>
    </row>
    <row r="582" spans="1:33" s="399" customFormat="1" ht="33" customHeight="1">
      <c r="A582" s="396" t="s">
        <v>2505</v>
      </c>
      <c r="B582" s="570" t="s">
        <v>228</v>
      </c>
      <c r="C582" s="571"/>
      <c r="D582" s="571"/>
      <c r="E582" s="571"/>
      <c r="F582" s="571"/>
      <c r="G582" s="571"/>
      <c r="H582" s="571"/>
      <c r="I582" s="571"/>
      <c r="J582" s="571"/>
      <c r="K582" s="571"/>
      <c r="L582" s="571"/>
      <c r="M582" s="571"/>
      <c r="N582" s="571"/>
      <c r="O582" s="397" t="s">
        <v>1599</v>
      </c>
      <c r="P582" s="398"/>
      <c r="S582" s="400"/>
      <c r="T582" s="400"/>
      <c r="U582" s="400"/>
      <c r="V582" s="400"/>
      <c r="W582" s="400"/>
      <c r="X582" s="400"/>
      <c r="Y582" s="400"/>
      <c r="Z582" s="400"/>
      <c r="AA582" s="400"/>
      <c r="AB582" s="400"/>
      <c r="AC582" s="400"/>
      <c r="AD582" s="400"/>
      <c r="AE582" s="400"/>
      <c r="AF582" s="400"/>
      <c r="AG582" s="400"/>
    </row>
    <row r="583" spans="1:33" ht="14.25" customHeight="1">
      <c r="A583" s="190"/>
      <c r="C583" s="193"/>
      <c r="E583" s="193"/>
      <c r="G583" s="193"/>
      <c r="O583" s="339"/>
      <c r="Q583" s="129"/>
      <c r="S583" s="129"/>
      <c r="T583" s="129"/>
      <c r="U583" s="129"/>
      <c r="V583" s="129"/>
      <c r="W583" s="129"/>
      <c r="X583" s="129"/>
      <c r="Y583" s="129"/>
      <c r="Z583" s="129"/>
      <c r="AA583" s="129"/>
      <c r="AB583" s="129"/>
      <c r="AC583" s="129"/>
      <c r="AD583" s="129"/>
      <c r="AE583" s="129"/>
      <c r="AF583" s="129"/>
      <c r="AG583" s="129"/>
    </row>
    <row r="584" spans="1:33" ht="14.25" customHeight="1">
      <c r="A584" s="190"/>
      <c r="B584" s="128" t="s">
        <v>1395</v>
      </c>
      <c r="C584" s="193"/>
      <c r="E584" s="193"/>
      <c r="G584" s="193"/>
      <c r="O584" s="339"/>
      <c r="Q584" s="129"/>
      <c r="S584" s="129"/>
      <c r="T584" s="129"/>
      <c r="U584" s="129"/>
      <c r="V584" s="129"/>
      <c r="W584" s="129"/>
      <c r="X584" s="129"/>
      <c r="Y584" s="129"/>
      <c r="Z584" s="129"/>
      <c r="AA584" s="129"/>
      <c r="AB584" s="129"/>
      <c r="AC584" s="129"/>
      <c r="AD584" s="129"/>
      <c r="AE584" s="129"/>
      <c r="AF584" s="129"/>
      <c r="AG584" s="129"/>
    </row>
    <row r="585" spans="1:33" ht="14.25" customHeight="1">
      <c r="A585" s="190"/>
      <c r="C585" s="193"/>
      <c r="E585" s="193"/>
      <c r="G585" s="193"/>
      <c r="O585" s="339"/>
      <c r="Q585" s="129"/>
      <c r="S585" s="129"/>
      <c r="T585" s="129"/>
      <c r="U585" s="129"/>
      <c r="V585" s="129"/>
      <c r="W585" s="129"/>
      <c r="X585" s="129"/>
      <c r="Y585" s="129"/>
      <c r="Z585" s="129"/>
      <c r="AA585" s="129"/>
      <c r="AB585" s="129"/>
      <c r="AC585" s="129"/>
      <c r="AD585" s="129"/>
      <c r="AE585" s="129"/>
      <c r="AF585" s="129"/>
      <c r="AG585" s="129"/>
    </row>
    <row r="586" spans="1:33" ht="14.25" customHeight="1">
      <c r="A586" s="190"/>
      <c r="B586" s="191"/>
      <c r="C586" s="193" t="s">
        <v>101</v>
      </c>
      <c r="E586" s="193" t="s">
        <v>1273</v>
      </c>
      <c r="G586" s="193"/>
      <c r="O586" s="339"/>
      <c r="P586" s="347"/>
      <c r="Q586" s="129"/>
      <c r="R586" s="129"/>
      <c r="S586" s="129"/>
      <c r="T586" s="129"/>
      <c r="U586" s="129"/>
      <c r="V586" s="129"/>
      <c r="W586" s="129"/>
      <c r="X586" s="129"/>
      <c r="Y586" s="129"/>
      <c r="Z586" s="129"/>
      <c r="AA586" s="129"/>
      <c r="AB586" s="129"/>
      <c r="AC586" s="129"/>
      <c r="AD586" s="129"/>
      <c r="AE586" s="129"/>
      <c r="AF586" s="129"/>
      <c r="AG586" s="129"/>
    </row>
    <row r="587" spans="1:33" ht="14.25">
      <c r="A587" s="190"/>
      <c r="B587" s="325" t="s">
        <v>1274</v>
      </c>
      <c r="C587" s="197">
        <f>C578</f>
        <v>15931.529999999999</v>
      </c>
      <c r="D587" s="197" t="s">
        <v>1275</v>
      </c>
      <c r="E587" s="197">
        <v>0.22189999999999999</v>
      </c>
      <c r="F587" s="197" t="s">
        <v>1276</v>
      </c>
      <c r="G587" s="197">
        <f>ROUND(C587*E587,2)</f>
        <v>3535.21</v>
      </c>
      <c r="H587" s="197" t="s">
        <v>42</v>
      </c>
      <c r="I587" s="197"/>
      <c r="J587" s="197"/>
      <c r="K587" s="197"/>
      <c r="L587" s="197"/>
      <c r="M587" s="197"/>
      <c r="N587" s="197"/>
      <c r="O587" s="339"/>
      <c r="P587" s="347"/>
      <c r="Q587" s="129"/>
      <c r="R587" s="129"/>
    </row>
    <row r="588" spans="1:33" ht="14.25" customHeight="1">
      <c r="A588" s="190"/>
      <c r="B588" s="274"/>
      <c r="C588" s="197"/>
      <c r="D588" s="197"/>
      <c r="E588" s="197"/>
      <c r="F588" s="197"/>
      <c r="G588" s="197"/>
      <c r="H588" s="197"/>
      <c r="I588" s="197"/>
      <c r="J588" s="197"/>
      <c r="K588" s="197"/>
      <c r="L588" s="197"/>
      <c r="M588" s="197"/>
      <c r="N588" s="197"/>
      <c r="O588" s="339"/>
      <c r="P588" s="347"/>
      <c r="Q588" s="129"/>
      <c r="R588" s="129"/>
    </row>
    <row r="589" spans="1:33" ht="14.25" customHeight="1">
      <c r="A589" s="190"/>
      <c r="B589" s="274" t="s">
        <v>92</v>
      </c>
      <c r="C589" s="274">
        <f>G587</f>
        <v>3535.21</v>
      </c>
      <c r="D589" s="274" t="s">
        <v>42</v>
      </c>
      <c r="E589" s="197"/>
      <c r="F589" s="197"/>
      <c r="G589" s="197"/>
      <c r="H589" s="197"/>
      <c r="I589" s="197"/>
      <c r="J589" s="197"/>
      <c r="K589" s="197"/>
      <c r="L589" s="197"/>
      <c r="M589" s="197"/>
      <c r="N589" s="197"/>
      <c r="O589" s="339"/>
      <c r="P589" s="347"/>
      <c r="Q589" s="129"/>
      <c r="R589" s="129"/>
    </row>
    <row r="590" spans="1:33" ht="14.25" customHeight="1">
      <c r="A590" s="190"/>
      <c r="B590" s="197"/>
      <c r="C590" s="197"/>
      <c r="D590" s="197"/>
      <c r="E590" s="197"/>
      <c r="F590" s="197"/>
      <c r="G590" s="197"/>
      <c r="H590" s="197"/>
      <c r="I590" s="197"/>
      <c r="J590" s="197"/>
      <c r="K590" s="197"/>
      <c r="L590" s="197"/>
      <c r="M590" s="197"/>
      <c r="N590" s="197"/>
      <c r="O590" s="339"/>
      <c r="P590" s="347"/>
      <c r="Q590" s="129"/>
      <c r="R590" s="129"/>
    </row>
    <row r="591" spans="1:33" ht="14.25" customHeight="1">
      <c r="A591" s="188" t="s">
        <v>131</v>
      </c>
      <c r="B591" s="551" t="s">
        <v>54</v>
      </c>
      <c r="C591" s="552"/>
      <c r="D591" s="552"/>
      <c r="E591" s="552"/>
      <c r="F591" s="552"/>
      <c r="G591" s="552"/>
      <c r="H591" s="552"/>
      <c r="I591" s="552"/>
      <c r="J591" s="552"/>
      <c r="K591" s="552"/>
      <c r="L591" s="552"/>
      <c r="M591" s="552"/>
      <c r="N591" s="552"/>
      <c r="O591" s="346"/>
      <c r="P591" s="347"/>
      <c r="Q591" s="129"/>
    </row>
    <row r="592" spans="1:33" ht="14.25" customHeight="1">
      <c r="A592" s="188" t="s">
        <v>133</v>
      </c>
      <c r="B592" s="551" t="s">
        <v>55</v>
      </c>
      <c r="C592" s="552"/>
      <c r="D592" s="552"/>
      <c r="E592" s="552"/>
      <c r="F592" s="552"/>
      <c r="G592" s="552"/>
      <c r="H592" s="552"/>
      <c r="I592" s="552"/>
      <c r="J592" s="552"/>
      <c r="K592" s="552"/>
      <c r="L592" s="552"/>
      <c r="M592" s="552"/>
      <c r="N592" s="552"/>
      <c r="O592" s="346"/>
      <c r="P592" s="347"/>
      <c r="Q592" s="129"/>
    </row>
    <row r="593" spans="1:33" ht="14.25">
      <c r="A593" s="190"/>
      <c r="C593" s="193"/>
      <c r="E593" s="193"/>
      <c r="G593" s="193"/>
      <c r="O593" s="339"/>
      <c r="P593" s="347"/>
      <c r="Q593" s="129"/>
    </row>
    <row r="594" spans="1:33" customFormat="1" ht="31.5" customHeight="1">
      <c r="A594" s="278" t="s">
        <v>366</v>
      </c>
      <c r="B594" s="560" t="s">
        <v>1173</v>
      </c>
      <c r="C594" s="547"/>
      <c r="D594" s="547"/>
      <c r="E594" s="547"/>
      <c r="F594" s="547"/>
      <c r="G594" s="547"/>
      <c r="H594" s="547"/>
      <c r="I594" s="547"/>
      <c r="J594" s="547"/>
      <c r="K594" s="547"/>
      <c r="L594" s="547"/>
      <c r="M594" s="547"/>
      <c r="N594" s="547"/>
      <c r="O594" s="363">
        <v>94439</v>
      </c>
      <c r="P594" s="368"/>
      <c r="Q594" s="369"/>
      <c r="R594" s="25"/>
      <c r="S594" s="25"/>
      <c r="T594" s="25"/>
      <c r="U594" s="25"/>
      <c r="V594" s="25"/>
      <c r="W594" s="25"/>
      <c r="X594" s="25"/>
      <c r="Y594" s="25"/>
      <c r="Z594" s="25"/>
      <c r="AA594" s="25"/>
      <c r="AB594" s="25"/>
      <c r="AC594" s="25"/>
      <c r="AD594" s="25"/>
      <c r="AE594" s="25"/>
      <c r="AF594" s="25"/>
      <c r="AG594" s="25"/>
    </row>
    <row r="595" spans="1:33" ht="14.25" customHeight="1">
      <c r="A595" s="195"/>
      <c r="B595" s="263"/>
      <c r="C595" s="196"/>
      <c r="D595" s="196"/>
      <c r="E595" s="196"/>
      <c r="F595" s="196"/>
      <c r="G595" s="196"/>
      <c r="H595" s="196"/>
      <c r="I595" s="196"/>
      <c r="J595" s="196"/>
      <c r="K595" s="196"/>
      <c r="L595" s="196"/>
      <c r="M595" s="196"/>
      <c r="N595" s="196"/>
      <c r="O595" s="252"/>
      <c r="P595" s="347"/>
      <c r="Q595" s="129"/>
    </row>
    <row r="596" spans="1:33" ht="14.25" customHeight="1">
      <c r="A596" s="190"/>
      <c r="B596" s="191"/>
      <c r="C596" s="193" t="s">
        <v>77</v>
      </c>
      <c r="E596" s="193"/>
      <c r="G596" s="193"/>
      <c r="O596" s="339"/>
      <c r="P596" s="347"/>
      <c r="Q596" s="129"/>
      <c r="R596" s="129"/>
      <c r="S596" s="129"/>
      <c r="T596" s="129"/>
      <c r="U596" s="129"/>
      <c r="V596" s="129"/>
      <c r="W596" s="129"/>
      <c r="X596" s="129"/>
      <c r="Y596" s="129"/>
      <c r="Z596" s="129"/>
      <c r="AA596" s="129"/>
      <c r="AB596" s="129"/>
      <c r="AC596" s="129"/>
      <c r="AD596" s="129"/>
      <c r="AE596" s="129"/>
      <c r="AF596" s="129"/>
      <c r="AG596" s="129"/>
    </row>
    <row r="597" spans="1:33" ht="14.25" customHeight="1">
      <c r="A597" s="199"/>
      <c r="B597" s="128" t="s">
        <v>294</v>
      </c>
      <c r="C597" s="193">
        <v>35.83</v>
      </c>
      <c r="D597" s="128" t="s">
        <v>117</v>
      </c>
      <c r="E597" s="193"/>
      <c r="G597" s="193"/>
      <c r="I597" s="129"/>
      <c r="J597" s="187"/>
      <c r="K597" s="129"/>
      <c r="L597" s="129"/>
      <c r="M597" s="129"/>
      <c r="N597" s="129"/>
      <c r="O597" s="358"/>
      <c r="P597" s="347"/>
      <c r="Q597" s="129"/>
      <c r="R597" s="129"/>
      <c r="S597" s="129"/>
      <c r="T597" s="129"/>
      <c r="U597" s="129"/>
      <c r="V597" s="129"/>
      <c r="W597" s="129"/>
      <c r="X597" s="129"/>
      <c r="Y597" s="129"/>
      <c r="Z597" s="129"/>
      <c r="AA597" s="129"/>
      <c r="AB597" s="129"/>
      <c r="AC597" s="129"/>
      <c r="AD597" s="129"/>
      <c r="AE597" s="129"/>
      <c r="AF597" s="129"/>
      <c r="AG597" s="129"/>
    </row>
    <row r="598" spans="1:33" ht="14.25" customHeight="1">
      <c r="A598" s="199"/>
      <c r="B598" s="128" t="s">
        <v>289</v>
      </c>
      <c r="C598" s="193">
        <v>35.880000000000003</v>
      </c>
      <c r="D598" s="128" t="s">
        <v>117</v>
      </c>
      <c r="E598" s="193"/>
      <c r="G598" s="193"/>
      <c r="I598" s="129"/>
      <c r="J598" s="187"/>
      <c r="K598" s="129"/>
      <c r="L598" s="129"/>
      <c r="M598" s="129"/>
      <c r="N598" s="129"/>
      <c r="O598" s="358"/>
      <c r="P598" s="347"/>
      <c r="Q598" s="129"/>
      <c r="R598" s="129"/>
      <c r="S598" s="129"/>
      <c r="T598" s="129"/>
      <c r="U598" s="129"/>
      <c r="V598" s="129"/>
      <c r="W598" s="129"/>
      <c r="X598" s="129"/>
      <c r="Y598" s="129"/>
      <c r="Z598" s="129"/>
      <c r="AA598" s="129"/>
      <c r="AB598" s="129"/>
      <c r="AC598" s="129"/>
      <c r="AD598" s="129"/>
      <c r="AE598" s="129"/>
      <c r="AF598" s="129"/>
      <c r="AG598" s="129"/>
    </row>
    <row r="599" spans="1:33" ht="14.25" customHeight="1">
      <c r="A599" s="199"/>
      <c r="B599" s="128" t="s">
        <v>290</v>
      </c>
      <c r="C599" s="193">
        <v>35.880000000000003</v>
      </c>
      <c r="D599" s="128" t="s">
        <v>117</v>
      </c>
      <c r="E599" s="193"/>
      <c r="G599" s="193"/>
      <c r="I599" s="129"/>
      <c r="J599" s="187"/>
      <c r="K599" s="129"/>
      <c r="L599" s="129"/>
      <c r="M599" s="129"/>
      <c r="N599" s="129"/>
      <c r="O599" s="358"/>
      <c r="P599" s="347"/>
      <c r="Q599" s="129"/>
      <c r="R599" s="129"/>
      <c r="S599" s="129"/>
      <c r="T599" s="129"/>
      <c r="U599" s="129"/>
      <c r="V599" s="129"/>
      <c r="W599" s="129"/>
      <c r="X599" s="129"/>
      <c r="Y599" s="129"/>
      <c r="Z599" s="129"/>
      <c r="AA599" s="129"/>
      <c r="AB599" s="129"/>
      <c r="AC599" s="129"/>
      <c r="AD599" s="129"/>
      <c r="AE599" s="129"/>
      <c r="AF599" s="129"/>
      <c r="AG599" s="129"/>
    </row>
    <row r="600" spans="1:33" ht="14.25">
      <c r="A600" s="199"/>
      <c r="B600" s="128" t="s">
        <v>295</v>
      </c>
      <c r="C600" s="193">
        <v>35.880000000000003</v>
      </c>
      <c r="D600" s="128" t="s">
        <v>117</v>
      </c>
      <c r="E600" s="193"/>
      <c r="G600" s="193"/>
      <c r="I600" s="129"/>
      <c r="J600" s="187"/>
      <c r="K600" s="129"/>
      <c r="L600" s="129"/>
      <c r="M600" s="129"/>
      <c r="N600" s="129"/>
      <c r="O600" s="358"/>
      <c r="P600" s="347"/>
      <c r="Q600" s="129"/>
      <c r="R600" s="129"/>
      <c r="S600" s="129"/>
      <c r="T600" s="129"/>
      <c r="U600" s="129"/>
      <c r="V600" s="129"/>
      <c r="W600" s="129"/>
      <c r="X600" s="129"/>
      <c r="Y600" s="129"/>
      <c r="Z600" s="129"/>
      <c r="AA600" s="129"/>
      <c r="AB600" s="129"/>
      <c r="AC600" s="129"/>
      <c r="AD600" s="129"/>
      <c r="AE600" s="129"/>
      <c r="AF600" s="129"/>
      <c r="AG600" s="129"/>
    </row>
    <row r="601" spans="1:33" ht="14.25" customHeight="1">
      <c r="A601" s="199"/>
      <c r="B601" s="128" t="s">
        <v>1175</v>
      </c>
      <c r="C601" s="193">
        <v>36.08</v>
      </c>
      <c r="D601" s="128" t="s">
        <v>117</v>
      </c>
      <c r="E601" s="193"/>
      <c r="G601" s="193"/>
      <c r="I601" s="129"/>
      <c r="J601" s="187"/>
      <c r="K601" s="129"/>
      <c r="L601" s="129"/>
      <c r="M601" s="129"/>
      <c r="N601" s="129"/>
      <c r="O601" s="358"/>
      <c r="P601" s="347"/>
      <c r="Q601" s="129"/>
      <c r="R601" s="129"/>
      <c r="S601" s="129"/>
      <c r="T601" s="129"/>
      <c r="U601" s="129"/>
      <c r="V601" s="129"/>
      <c r="W601" s="129"/>
      <c r="X601" s="129"/>
      <c r="Y601" s="129"/>
      <c r="Z601" s="129"/>
      <c r="AA601" s="129"/>
      <c r="AB601" s="129"/>
      <c r="AC601" s="129"/>
      <c r="AD601" s="129"/>
      <c r="AE601" s="129"/>
      <c r="AF601" s="129"/>
      <c r="AG601" s="129"/>
    </row>
    <row r="602" spans="1:33" ht="14.25">
      <c r="A602" s="199"/>
      <c r="B602" s="128" t="s">
        <v>1176</v>
      </c>
      <c r="C602" s="193">
        <v>35.83</v>
      </c>
      <c r="D602" s="128" t="s">
        <v>117</v>
      </c>
      <c r="E602" s="193"/>
      <c r="G602" s="193"/>
      <c r="I602" s="129"/>
      <c r="J602" s="187"/>
      <c r="K602" s="129"/>
      <c r="L602" s="129"/>
      <c r="M602" s="129"/>
      <c r="N602" s="129"/>
      <c r="O602" s="358"/>
      <c r="P602" s="347"/>
      <c r="Q602" s="129"/>
      <c r="R602" s="129"/>
      <c r="S602" s="129"/>
      <c r="T602" s="129"/>
      <c r="U602" s="129"/>
      <c r="V602" s="129"/>
      <c r="W602" s="129"/>
      <c r="X602" s="129"/>
      <c r="Y602" s="129"/>
      <c r="Z602" s="129"/>
      <c r="AA602" s="129"/>
      <c r="AB602" s="129"/>
      <c r="AC602" s="129"/>
      <c r="AD602" s="129"/>
      <c r="AE602" s="129"/>
      <c r="AF602" s="129"/>
      <c r="AG602" s="129"/>
    </row>
    <row r="603" spans="1:33" ht="14.25" customHeight="1">
      <c r="A603" s="199"/>
      <c r="B603" s="128" t="s">
        <v>460</v>
      </c>
      <c r="C603" s="193">
        <v>26.98</v>
      </c>
      <c r="D603" s="128" t="s">
        <v>117</v>
      </c>
      <c r="E603" s="193"/>
      <c r="G603" s="193"/>
      <c r="I603" s="129"/>
      <c r="J603" s="187"/>
      <c r="K603" s="129"/>
      <c r="L603" s="129"/>
      <c r="M603" s="129"/>
      <c r="N603" s="129"/>
      <c r="O603" s="358"/>
      <c r="P603" s="347"/>
      <c r="Q603" s="129"/>
      <c r="R603" s="129"/>
      <c r="S603" s="129"/>
      <c r="T603" s="129"/>
      <c r="U603" s="129"/>
      <c r="V603" s="129"/>
      <c r="W603" s="129"/>
      <c r="X603" s="129"/>
      <c r="Y603" s="129"/>
      <c r="Z603" s="129"/>
      <c r="AA603" s="129"/>
      <c r="AB603" s="129"/>
      <c r="AC603" s="129"/>
      <c r="AD603" s="129"/>
      <c r="AE603" s="129"/>
      <c r="AF603" s="129"/>
      <c r="AG603" s="129"/>
    </row>
    <row r="604" spans="1:33" ht="14.25" customHeight="1">
      <c r="A604" s="199"/>
      <c r="B604" s="129" t="s">
        <v>1180</v>
      </c>
      <c r="C604" s="193">
        <v>9.23</v>
      </c>
      <c r="D604" s="128" t="s">
        <v>117</v>
      </c>
      <c r="E604" s="193"/>
      <c r="G604" s="193"/>
      <c r="I604" s="129"/>
      <c r="J604" s="187"/>
      <c r="K604" s="129"/>
      <c r="L604" s="129"/>
      <c r="M604" s="129"/>
      <c r="N604" s="129"/>
      <c r="O604" s="358"/>
      <c r="P604" s="347"/>
      <c r="Q604" s="129"/>
      <c r="R604" s="129"/>
      <c r="S604" s="129"/>
      <c r="T604" s="129"/>
      <c r="U604" s="129"/>
      <c r="V604" s="129"/>
      <c r="W604" s="129"/>
      <c r="X604" s="129"/>
      <c r="Y604" s="129"/>
      <c r="Z604" s="129"/>
      <c r="AA604" s="129"/>
      <c r="AB604" s="129"/>
      <c r="AC604" s="129"/>
      <c r="AD604" s="129"/>
      <c r="AE604" s="129"/>
      <c r="AF604" s="129"/>
      <c r="AG604" s="129"/>
    </row>
    <row r="605" spans="1:33" ht="14.25" customHeight="1">
      <c r="A605" s="199"/>
      <c r="B605" s="128" t="s">
        <v>217</v>
      </c>
      <c r="C605" s="193">
        <v>3.58</v>
      </c>
      <c r="D605" s="128" t="s">
        <v>117</v>
      </c>
      <c r="E605" s="193"/>
      <c r="G605" s="193"/>
      <c r="I605" s="129"/>
      <c r="J605" s="187"/>
      <c r="K605" s="129"/>
      <c r="L605" s="129"/>
      <c r="M605" s="129"/>
      <c r="N605" s="129"/>
      <c r="O605" s="358"/>
      <c r="P605" s="347"/>
      <c r="Q605" s="129"/>
      <c r="R605" s="129"/>
      <c r="S605" s="129"/>
      <c r="T605" s="129"/>
      <c r="U605" s="129"/>
      <c r="V605" s="129"/>
      <c r="W605" s="129"/>
      <c r="X605" s="129"/>
      <c r="Y605" s="129"/>
      <c r="Z605" s="129"/>
      <c r="AA605" s="129"/>
      <c r="AB605" s="129"/>
      <c r="AC605" s="129"/>
      <c r="AD605" s="129"/>
      <c r="AE605" s="129"/>
      <c r="AF605" s="129"/>
      <c r="AG605" s="129"/>
    </row>
    <row r="606" spans="1:33" ht="14.25" customHeight="1">
      <c r="A606" s="199"/>
      <c r="B606" s="128" t="s">
        <v>1181</v>
      </c>
      <c r="C606" s="193">
        <v>4.97</v>
      </c>
      <c r="D606" s="128" t="s">
        <v>117</v>
      </c>
      <c r="E606" s="193"/>
      <c r="G606" s="193"/>
      <c r="I606" s="129"/>
      <c r="J606" s="187"/>
      <c r="K606" s="129"/>
      <c r="L606" s="129"/>
      <c r="M606" s="129"/>
      <c r="N606" s="129"/>
      <c r="O606" s="358"/>
      <c r="P606" s="347"/>
      <c r="Q606" s="129"/>
      <c r="R606" s="129"/>
      <c r="S606" s="129"/>
      <c r="T606" s="129"/>
      <c r="U606" s="129"/>
      <c r="V606" s="129"/>
      <c r="W606" s="129"/>
      <c r="X606" s="129"/>
      <c r="Y606" s="129"/>
      <c r="Z606" s="129"/>
      <c r="AA606" s="129"/>
      <c r="AB606" s="129"/>
      <c r="AC606" s="129"/>
      <c r="AD606" s="129"/>
      <c r="AE606" s="129"/>
      <c r="AF606" s="129"/>
      <c r="AG606" s="129"/>
    </row>
    <row r="607" spans="1:33" ht="14.25" customHeight="1">
      <c r="A607" s="199"/>
      <c r="B607" s="128" t="s">
        <v>461</v>
      </c>
      <c r="C607" s="193">
        <v>15.62</v>
      </c>
      <c r="D607" s="128" t="s">
        <v>117</v>
      </c>
      <c r="E607" s="193"/>
      <c r="G607" s="193"/>
      <c r="I607" s="129"/>
      <c r="J607" s="187"/>
      <c r="K607" s="129"/>
      <c r="L607" s="129"/>
      <c r="M607" s="129"/>
      <c r="N607" s="129"/>
      <c r="O607" s="358"/>
      <c r="P607" s="347"/>
      <c r="Q607" s="129"/>
      <c r="R607" s="129"/>
      <c r="S607" s="129"/>
      <c r="T607" s="129"/>
      <c r="U607" s="129"/>
      <c r="V607" s="129"/>
      <c r="W607" s="129"/>
      <c r="X607" s="129"/>
      <c r="Y607" s="129"/>
      <c r="Z607" s="129"/>
      <c r="AA607" s="129"/>
      <c r="AB607" s="129"/>
      <c r="AC607" s="129"/>
      <c r="AD607" s="129"/>
      <c r="AE607" s="129"/>
      <c r="AF607" s="129"/>
      <c r="AG607" s="129"/>
    </row>
    <row r="608" spans="1:33" ht="14.25" customHeight="1">
      <c r="A608" s="199"/>
      <c r="B608" s="129" t="s">
        <v>365</v>
      </c>
      <c r="C608" s="193">
        <v>36.29</v>
      </c>
      <c r="D608" s="128" t="s">
        <v>117</v>
      </c>
      <c r="E608" s="193"/>
      <c r="G608" s="193"/>
      <c r="I608" s="129"/>
      <c r="J608" s="187"/>
      <c r="K608" s="129"/>
      <c r="L608" s="129"/>
      <c r="M608" s="129"/>
      <c r="N608" s="129"/>
      <c r="O608" s="358"/>
      <c r="P608" s="347"/>
      <c r="Q608" s="129"/>
      <c r="R608" s="129"/>
      <c r="S608" s="129"/>
      <c r="T608" s="129"/>
      <c r="U608" s="129"/>
      <c r="V608" s="129"/>
      <c r="W608" s="129"/>
      <c r="X608" s="129"/>
      <c r="Y608" s="129"/>
      <c r="Z608" s="129"/>
      <c r="AA608" s="129"/>
      <c r="AB608" s="129"/>
      <c r="AC608" s="129"/>
      <c r="AD608" s="129"/>
      <c r="AE608" s="129"/>
      <c r="AF608" s="129"/>
      <c r="AG608" s="129"/>
    </row>
    <row r="609" spans="1:33" ht="14.25" customHeight="1">
      <c r="A609" s="199"/>
      <c r="B609" s="128" t="s">
        <v>219</v>
      </c>
      <c r="C609" s="193">
        <v>6.12</v>
      </c>
      <c r="D609" s="128" t="s">
        <v>117</v>
      </c>
      <c r="E609" s="193"/>
      <c r="G609" s="193"/>
      <c r="I609" s="129"/>
      <c r="J609" s="187"/>
      <c r="K609" s="129"/>
      <c r="L609" s="129"/>
      <c r="M609" s="129"/>
      <c r="N609" s="129"/>
      <c r="O609" s="358"/>
      <c r="P609" s="347"/>
      <c r="Q609" s="129"/>
      <c r="R609" s="129"/>
      <c r="S609" s="129"/>
      <c r="T609" s="129"/>
      <c r="U609" s="129"/>
      <c r="V609" s="129"/>
      <c r="W609" s="129"/>
      <c r="X609" s="129"/>
      <c r="Y609" s="129"/>
      <c r="Z609" s="129"/>
      <c r="AA609" s="129"/>
      <c r="AB609" s="129"/>
      <c r="AC609" s="129"/>
      <c r="AD609" s="129"/>
      <c r="AE609" s="129"/>
      <c r="AF609" s="129"/>
      <c r="AG609" s="129"/>
    </row>
    <row r="610" spans="1:33" ht="14.25" customHeight="1">
      <c r="A610" s="199"/>
      <c r="B610" s="128" t="s">
        <v>286</v>
      </c>
      <c r="C610" s="193">
        <v>9.64</v>
      </c>
      <c r="D610" s="128" t="s">
        <v>117</v>
      </c>
      <c r="E610" s="193"/>
      <c r="G610" s="193"/>
      <c r="I610" s="129"/>
      <c r="J610" s="187"/>
      <c r="K610" s="129"/>
      <c r="L610" s="129"/>
      <c r="M610" s="129"/>
      <c r="N610" s="129"/>
      <c r="O610" s="358"/>
      <c r="P610" s="347"/>
      <c r="Q610" s="129"/>
      <c r="R610" s="129"/>
      <c r="S610" s="129"/>
      <c r="T610" s="129"/>
      <c r="U610" s="129"/>
      <c r="V610" s="129"/>
      <c r="W610" s="129"/>
      <c r="X610" s="129"/>
      <c r="Y610" s="129"/>
      <c r="Z610" s="129"/>
      <c r="AA610" s="129"/>
      <c r="AB610" s="129"/>
      <c r="AC610" s="129"/>
      <c r="AD610" s="129"/>
      <c r="AE610" s="129"/>
      <c r="AF610" s="129"/>
      <c r="AG610" s="129"/>
    </row>
    <row r="611" spans="1:33" ht="14.25" customHeight="1">
      <c r="A611" s="199"/>
      <c r="B611" s="128" t="s">
        <v>284</v>
      </c>
      <c r="C611" s="193">
        <v>7.72</v>
      </c>
      <c r="D611" s="128" t="s">
        <v>117</v>
      </c>
      <c r="E611" s="193"/>
      <c r="G611" s="193"/>
      <c r="I611" s="129"/>
      <c r="J611" s="187"/>
      <c r="K611" s="129"/>
      <c r="L611" s="129"/>
      <c r="M611" s="129"/>
      <c r="N611" s="129"/>
      <c r="O611" s="358"/>
      <c r="P611" s="347"/>
      <c r="Q611" s="129"/>
      <c r="R611" s="129"/>
      <c r="S611" s="129"/>
      <c r="T611" s="129"/>
      <c r="U611" s="129"/>
      <c r="V611" s="129"/>
      <c r="W611" s="129"/>
      <c r="X611" s="129"/>
      <c r="Y611" s="129"/>
      <c r="Z611" s="129"/>
      <c r="AA611" s="129"/>
      <c r="AB611" s="129"/>
      <c r="AC611" s="129"/>
      <c r="AD611" s="129"/>
      <c r="AE611" s="129"/>
      <c r="AF611" s="129"/>
      <c r="AG611" s="129"/>
    </row>
    <row r="612" spans="1:33" ht="14.25" customHeight="1">
      <c r="A612" s="199"/>
      <c r="B612" s="128" t="s">
        <v>283</v>
      </c>
      <c r="C612" s="193">
        <v>4.74</v>
      </c>
      <c r="D612" s="128" t="s">
        <v>117</v>
      </c>
      <c r="E612" s="193"/>
      <c r="G612" s="193"/>
      <c r="I612" s="129"/>
      <c r="J612" s="187"/>
      <c r="K612" s="129"/>
      <c r="L612" s="129"/>
      <c r="M612" s="129"/>
      <c r="N612" s="129"/>
      <c r="O612" s="358"/>
      <c r="P612" s="347"/>
      <c r="Q612" s="129"/>
      <c r="R612" s="129"/>
      <c r="S612" s="129"/>
      <c r="T612" s="129"/>
      <c r="U612" s="129"/>
      <c r="V612" s="129"/>
      <c r="W612" s="129"/>
      <c r="X612" s="129"/>
      <c r="Y612" s="129"/>
      <c r="Z612" s="129"/>
      <c r="AA612" s="129"/>
      <c r="AB612" s="129"/>
      <c r="AC612" s="129"/>
      <c r="AD612" s="129"/>
      <c r="AE612" s="129"/>
      <c r="AF612" s="129"/>
      <c r="AG612" s="129"/>
    </row>
    <row r="613" spans="1:33" ht="14.25" customHeight="1">
      <c r="A613" s="199"/>
      <c r="B613" s="128" t="s">
        <v>1182</v>
      </c>
      <c r="C613" s="193">
        <v>18.82</v>
      </c>
      <c r="D613" s="128" t="s">
        <v>117</v>
      </c>
      <c r="E613" s="193"/>
      <c r="G613" s="193"/>
      <c r="I613" s="129"/>
      <c r="J613" s="187"/>
      <c r="K613" s="129"/>
      <c r="L613" s="129"/>
      <c r="M613" s="129"/>
      <c r="N613" s="129"/>
      <c r="O613" s="358"/>
      <c r="P613" s="347"/>
      <c r="Q613" s="129"/>
      <c r="R613" s="129"/>
      <c r="S613" s="129"/>
      <c r="T613" s="129"/>
      <c r="U613" s="129"/>
      <c r="V613" s="129"/>
      <c r="W613" s="129"/>
      <c r="X613" s="129"/>
      <c r="Y613" s="129"/>
      <c r="Z613" s="129"/>
      <c r="AA613" s="129"/>
      <c r="AB613" s="129"/>
      <c r="AC613" s="129"/>
      <c r="AD613" s="129"/>
      <c r="AE613" s="129"/>
      <c r="AF613" s="129"/>
      <c r="AG613" s="129"/>
    </row>
    <row r="614" spans="1:33" ht="14.25" customHeight="1">
      <c r="A614" s="199"/>
      <c r="B614" s="128" t="s">
        <v>1177</v>
      </c>
      <c r="C614" s="193">
        <v>11</v>
      </c>
      <c r="D614" s="128" t="s">
        <v>117</v>
      </c>
      <c r="E614" s="193"/>
      <c r="G614" s="193"/>
      <c r="I614" s="129"/>
      <c r="J614" s="187"/>
      <c r="K614" s="129"/>
      <c r="L614" s="129"/>
      <c r="M614" s="129"/>
      <c r="N614" s="129"/>
      <c r="O614" s="358"/>
      <c r="P614" s="347"/>
      <c r="Q614" s="129"/>
      <c r="R614" s="129"/>
      <c r="S614" s="129"/>
      <c r="T614" s="129"/>
      <c r="U614" s="129"/>
      <c r="V614" s="129"/>
      <c r="W614" s="129"/>
      <c r="X614" s="129"/>
      <c r="Y614" s="129"/>
      <c r="Z614" s="129"/>
      <c r="AA614" s="129"/>
      <c r="AB614" s="129"/>
      <c r="AC614" s="129"/>
      <c r="AD614" s="129"/>
      <c r="AE614" s="129"/>
      <c r="AF614" s="129"/>
      <c r="AG614" s="129"/>
    </row>
    <row r="615" spans="1:33" ht="14.25" customHeight="1">
      <c r="A615" s="199"/>
      <c r="B615" s="128" t="s">
        <v>1178</v>
      </c>
      <c r="C615" s="193">
        <v>16.2</v>
      </c>
      <c r="D615" s="128" t="s">
        <v>117</v>
      </c>
      <c r="E615" s="193"/>
      <c r="G615" s="193"/>
      <c r="I615" s="129"/>
      <c r="J615" s="187"/>
      <c r="K615" s="129"/>
      <c r="L615" s="129"/>
      <c r="M615" s="129"/>
      <c r="N615" s="129"/>
      <c r="O615" s="358"/>
      <c r="P615" s="347"/>
      <c r="Q615" s="129"/>
      <c r="R615" s="129"/>
      <c r="S615" s="129"/>
      <c r="T615" s="129"/>
      <c r="U615" s="129"/>
      <c r="V615" s="129"/>
      <c r="W615" s="129"/>
      <c r="X615" s="129"/>
      <c r="Y615" s="129"/>
      <c r="Z615" s="129"/>
      <c r="AA615" s="129"/>
      <c r="AB615" s="129"/>
      <c r="AC615" s="129"/>
      <c r="AD615" s="129"/>
      <c r="AE615" s="129"/>
      <c r="AF615" s="129"/>
      <c r="AG615" s="129"/>
    </row>
    <row r="616" spans="1:33" ht="14.25" customHeight="1">
      <c r="A616" s="199"/>
      <c r="B616" s="128" t="s">
        <v>1169</v>
      </c>
      <c r="C616" s="193">
        <v>14.25</v>
      </c>
      <c r="D616" s="128" t="s">
        <v>117</v>
      </c>
      <c r="E616" s="193"/>
      <c r="G616" s="193"/>
      <c r="I616" s="129"/>
      <c r="J616" s="187"/>
      <c r="K616" s="129"/>
      <c r="L616" s="129"/>
      <c r="M616" s="129"/>
      <c r="N616" s="129"/>
      <c r="O616" s="358"/>
      <c r="P616" s="347"/>
      <c r="Q616" s="129"/>
      <c r="R616" s="129"/>
      <c r="S616" s="129"/>
      <c r="T616" s="129"/>
      <c r="U616" s="129"/>
      <c r="V616" s="129"/>
      <c r="W616" s="129"/>
      <c r="X616" s="129"/>
      <c r="Y616" s="129"/>
      <c r="Z616" s="129"/>
      <c r="AA616" s="129"/>
      <c r="AB616" s="129"/>
      <c r="AC616" s="129"/>
      <c r="AD616" s="129"/>
      <c r="AE616" s="129"/>
      <c r="AF616" s="129"/>
      <c r="AG616" s="129"/>
    </row>
    <row r="617" spans="1:33" ht="14.25" customHeight="1">
      <c r="A617" s="199"/>
      <c r="B617" s="128" t="s">
        <v>1179</v>
      </c>
      <c r="C617" s="193">
        <v>16.2</v>
      </c>
      <c r="D617" s="128" t="s">
        <v>117</v>
      </c>
      <c r="E617" s="193"/>
      <c r="G617" s="193"/>
      <c r="I617" s="129"/>
      <c r="J617" s="187"/>
      <c r="K617" s="129"/>
      <c r="L617" s="129"/>
      <c r="M617" s="129"/>
      <c r="N617" s="129"/>
      <c r="O617" s="358"/>
      <c r="P617" s="347"/>
      <c r="Q617" s="129"/>
      <c r="R617" s="129"/>
      <c r="S617" s="129"/>
      <c r="T617" s="129"/>
      <c r="U617" s="129"/>
      <c r="V617" s="129"/>
      <c r="W617" s="129"/>
      <c r="X617" s="129"/>
      <c r="Y617" s="129"/>
      <c r="Z617" s="129"/>
      <c r="AA617" s="129"/>
      <c r="AB617" s="129"/>
      <c r="AC617" s="129"/>
      <c r="AD617" s="129"/>
      <c r="AE617" s="129"/>
      <c r="AF617" s="129"/>
      <c r="AG617" s="129"/>
    </row>
    <row r="618" spans="1:33" ht="14.25" customHeight="1">
      <c r="A618" s="199"/>
      <c r="B618" s="128" t="s">
        <v>288</v>
      </c>
      <c r="C618" s="193">
        <v>2.88</v>
      </c>
      <c r="D618" s="128" t="s">
        <v>117</v>
      </c>
      <c r="E618" s="193"/>
      <c r="G618" s="193"/>
      <c r="I618" s="129"/>
      <c r="J618" s="187"/>
      <c r="K618" s="129"/>
      <c r="L618" s="129"/>
      <c r="M618" s="129"/>
      <c r="N618" s="129"/>
      <c r="O618" s="358"/>
      <c r="P618" s="347"/>
      <c r="Q618" s="129"/>
      <c r="R618" s="129"/>
      <c r="S618" s="129"/>
      <c r="T618" s="129"/>
      <c r="U618" s="129"/>
      <c r="V618" s="129"/>
      <c r="W618" s="129"/>
      <c r="X618" s="129"/>
      <c r="Y618" s="129"/>
      <c r="Z618" s="129"/>
      <c r="AA618" s="129"/>
      <c r="AB618" s="129"/>
      <c r="AC618" s="129"/>
      <c r="AD618" s="129"/>
      <c r="AE618" s="129"/>
      <c r="AF618" s="129"/>
      <c r="AG618" s="129"/>
    </row>
    <row r="619" spans="1:33" ht="14.25" customHeight="1">
      <c r="A619" s="199"/>
      <c r="B619" s="128" t="s">
        <v>287</v>
      </c>
      <c r="C619" s="193">
        <v>2.88</v>
      </c>
      <c r="D619" s="128" t="s">
        <v>117</v>
      </c>
      <c r="E619" s="193"/>
      <c r="G619" s="193"/>
      <c r="I619" s="129"/>
      <c r="J619" s="187"/>
      <c r="K619" s="129"/>
      <c r="L619" s="129"/>
      <c r="M619" s="129"/>
      <c r="N619" s="129"/>
      <c r="O619" s="358"/>
      <c r="P619" s="347"/>
      <c r="Q619" s="129"/>
      <c r="R619" s="129"/>
      <c r="S619" s="129"/>
      <c r="T619" s="129"/>
      <c r="U619" s="129"/>
      <c r="V619" s="129"/>
      <c r="W619" s="129"/>
      <c r="X619" s="129"/>
      <c r="Y619" s="129"/>
      <c r="Z619" s="129"/>
      <c r="AA619" s="129"/>
      <c r="AB619" s="129"/>
      <c r="AC619" s="129"/>
      <c r="AD619" s="129"/>
      <c r="AE619" s="129"/>
      <c r="AF619" s="129"/>
      <c r="AG619" s="129"/>
    </row>
    <row r="620" spans="1:33" ht="14.25" customHeight="1">
      <c r="A620" s="199"/>
      <c r="B620" s="128" t="s">
        <v>158</v>
      </c>
      <c r="C620" s="193">
        <v>19.2</v>
      </c>
      <c r="D620" s="128" t="s">
        <v>117</v>
      </c>
      <c r="E620" s="193"/>
      <c r="G620" s="193"/>
      <c r="I620" s="129"/>
      <c r="J620" s="187"/>
      <c r="K620" s="129"/>
      <c r="L620" s="129"/>
      <c r="M620" s="129"/>
      <c r="N620" s="129"/>
      <c r="O620" s="358"/>
      <c r="P620" s="347"/>
      <c r="Q620" s="129"/>
      <c r="R620" s="129"/>
      <c r="S620" s="129"/>
      <c r="T620" s="129"/>
      <c r="U620" s="129"/>
      <c r="V620" s="129"/>
      <c r="W620" s="129"/>
      <c r="X620" s="129"/>
      <c r="Y620" s="129"/>
      <c r="Z620" s="129"/>
      <c r="AA620" s="129"/>
      <c r="AB620" s="129"/>
      <c r="AC620" s="129"/>
      <c r="AD620" s="129"/>
      <c r="AE620" s="129"/>
      <c r="AF620" s="129"/>
      <c r="AG620" s="129"/>
    </row>
    <row r="621" spans="1:33" ht="14.25">
      <c r="A621" s="199"/>
      <c r="B621" s="129" t="s">
        <v>281</v>
      </c>
      <c r="C621" s="193">
        <v>3.78</v>
      </c>
      <c r="D621" s="128" t="s">
        <v>117</v>
      </c>
      <c r="E621" s="193"/>
      <c r="G621" s="193"/>
      <c r="I621" s="129"/>
      <c r="J621" s="187"/>
      <c r="K621" s="129"/>
      <c r="L621" s="129"/>
      <c r="M621" s="129"/>
      <c r="N621" s="129"/>
      <c r="O621" s="358"/>
      <c r="P621" s="347"/>
      <c r="Q621" s="129"/>
      <c r="R621" s="129"/>
      <c r="S621" s="129"/>
      <c r="T621" s="129"/>
      <c r="U621" s="129"/>
      <c r="V621" s="129"/>
      <c r="W621" s="129"/>
      <c r="X621" s="129"/>
      <c r="Y621" s="129"/>
      <c r="Z621" s="129"/>
      <c r="AA621" s="129"/>
      <c r="AB621" s="129"/>
      <c r="AC621" s="129"/>
      <c r="AD621" s="129"/>
      <c r="AE621" s="129"/>
      <c r="AF621" s="129"/>
      <c r="AG621" s="129"/>
    </row>
    <row r="622" spans="1:33" ht="14.25" customHeight="1">
      <c r="A622" s="199"/>
      <c r="B622" s="128" t="s">
        <v>282</v>
      </c>
      <c r="C622" s="193">
        <v>3.78</v>
      </c>
      <c r="D622" s="128" t="s">
        <v>117</v>
      </c>
      <c r="E622" s="193"/>
      <c r="G622" s="193"/>
      <c r="I622" s="129"/>
      <c r="J622" s="187"/>
      <c r="K622" s="129"/>
      <c r="L622" s="129"/>
      <c r="M622" s="129"/>
      <c r="N622" s="129"/>
      <c r="O622" s="358"/>
      <c r="P622" s="347"/>
      <c r="Q622" s="129"/>
      <c r="R622" s="129"/>
      <c r="S622" s="129"/>
      <c r="T622" s="129"/>
      <c r="U622" s="129"/>
      <c r="V622" s="129"/>
      <c r="W622" s="129"/>
      <c r="X622" s="129"/>
      <c r="Y622" s="129"/>
      <c r="Z622" s="129"/>
      <c r="AA622" s="129"/>
      <c r="AB622" s="129"/>
      <c r="AC622" s="129"/>
      <c r="AD622" s="129"/>
      <c r="AE622" s="129"/>
      <c r="AF622" s="129"/>
      <c r="AG622" s="129"/>
    </row>
    <row r="623" spans="1:33" ht="14.25" customHeight="1">
      <c r="A623" s="199"/>
      <c r="C623" s="193"/>
      <c r="E623" s="193"/>
      <c r="G623" s="193"/>
      <c r="I623" s="129"/>
      <c r="J623" s="187"/>
      <c r="K623" s="129"/>
      <c r="L623" s="129"/>
      <c r="M623" s="129"/>
      <c r="N623" s="129"/>
      <c r="O623" s="358"/>
      <c r="P623" s="347"/>
      <c r="Q623" s="129"/>
      <c r="R623" s="129"/>
      <c r="S623" s="129"/>
      <c r="T623" s="129"/>
      <c r="U623" s="129"/>
      <c r="V623" s="129"/>
      <c r="W623" s="129"/>
      <c r="X623" s="129"/>
      <c r="Y623" s="129"/>
      <c r="Z623" s="129"/>
      <c r="AA623" s="129"/>
      <c r="AB623" s="129"/>
      <c r="AC623" s="129"/>
      <c r="AD623" s="129"/>
      <c r="AE623" s="129"/>
      <c r="AF623" s="129"/>
      <c r="AG623" s="129"/>
    </row>
    <row r="624" spans="1:33" s="191" customFormat="1" ht="14.25" customHeight="1">
      <c r="A624" s="260"/>
      <c r="B624" s="261" t="s">
        <v>92</v>
      </c>
      <c r="C624" s="274">
        <f>SUM(C597:C622)</f>
        <v>449.25999999999993</v>
      </c>
      <c r="D624" s="191" t="s">
        <v>42</v>
      </c>
      <c r="G624" s="192"/>
      <c r="I624" s="261"/>
      <c r="J624" s="200"/>
      <c r="K624" s="261"/>
      <c r="L624" s="261"/>
      <c r="M624" s="261"/>
      <c r="N624" s="261"/>
      <c r="O624" s="370"/>
      <c r="P624" s="371"/>
      <c r="Q624" s="372"/>
    </row>
    <row r="625" spans="1:33" ht="14.25" customHeight="1">
      <c r="A625" s="199"/>
      <c r="B625" s="129"/>
      <c r="C625" s="193"/>
      <c r="G625" s="193"/>
      <c r="I625" s="129"/>
      <c r="J625" s="187"/>
      <c r="K625" s="129"/>
      <c r="L625" s="129"/>
      <c r="M625" s="129"/>
      <c r="N625" s="129"/>
      <c r="O625" s="358"/>
      <c r="P625" s="347"/>
      <c r="Q625" s="373"/>
    </row>
    <row r="626" spans="1:33">
      <c r="A626" s="245" t="s">
        <v>367</v>
      </c>
      <c r="B626" s="572" t="s">
        <v>1183</v>
      </c>
      <c r="C626" s="545"/>
      <c r="D626" s="545"/>
      <c r="E626" s="545"/>
      <c r="F626" s="545"/>
      <c r="G626" s="545"/>
      <c r="H626" s="545"/>
      <c r="I626" s="545"/>
      <c r="J626" s="545"/>
      <c r="K626" s="545"/>
      <c r="L626" s="545"/>
      <c r="M626" s="545"/>
      <c r="N626" s="545"/>
      <c r="O626" s="252">
        <v>87263</v>
      </c>
      <c r="P626" s="350"/>
      <c r="Q626" s="129"/>
    </row>
    <row r="627" spans="1:33" ht="14.25" customHeight="1">
      <c r="A627" s="194"/>
      <c r="B627" s="297"/>
      <c r="C627" s="297"/>
      <c r="D627" s="297"/>
      <c r="E627" s="297"/>
      <c r="F627" s="297"/>
      <c r="G627" s="297"/>
      <c r="H627" s="297"/>
      <c r="I627" s="297"/>
      <c r="J627" s="297"/>
      <c r="K627" s="297"/>
      <c r="L627" s="297"/>
      <c r="M627" s="297"/>
      <c r="N627" s="297"/>
      <c r="O627" s="252"/>
      <c r="P627" s="347"/>
      <c r="Q627" s="129"/>
    </row>
    <row r="628" spans="1:33" ht="14.25" customHeight="1">
      <c r="A628" s="190"/>
      <c r="B628" s="191"/>
      <c r="C628" s="193" t="s">
        <v>77</v>
      </c>
      <c r="E628" s="193"/>
      <c r="G628" s="193"/>
      <c r="O628" s="339"/>
      <c r="P628" s="347"/>
      <c r="Q628" s="129"/>
      <c r="R628" s="129"/>
      <c r="S628" s="129"/>
      <c r="T628" s="129"/>
      <c r="U628" s="129"/>
      <c r="V628" s="129"/>
      <c r="W628" s="129"/>
      <c r="X628" s="129"/>
      <c r="Y628" s="129"/>
      <c r="Z628" s="129"/>
      <c r="AA628" s="129"/>
      <c r="AB628" s="129"/>
      <c r="AC628" s="129"/>
      <c r="AD628" s="129"/>
      <c r="AE628" s="129"/>
      <c r="AF628" s="129"/>
      <c r="AG628" s="129"/>
    </row>
    <row r="629" spans="1:33" ht="14.25" customHeight="1">
      <c r="A629" s="199"/>
      <c r="B629" s="129" t="s">
        <v>1180</v>
      </c>
      <c r="C629" s="193">
        <f>C604</f>
        <v>9.23</v>
      </c>
      <c r="D629" s="128" t="s">
        <v>117</v>
      </c>
      <c r="E629" s="193"/>
      <c r="G629" s="193"/>
      <c r="I629" s="129"/>
      <c r="J629" s="187"/>
      <c r="K629" s="129"/>
      <c r="L629" s="129"/>
      <c r="M629" s="129"/>
      <c r="N629" s="129"/>
      <c r="O629" s="358"/>
      <c r="P629" s="347"/>
      <c r="Q629" s="129"/>
      <c r="R629" s="129"/>
      <c r="S629" s="129"/>
      <c r="T629" s="129"/>
      <c r="U629" s="129"/>
      <c r="V629" s="129"/>
      <c r="W629" s="129"/>
      <c r="X629" s="129"/>
      <c r="Y629" s="129"/>
      <c r="Z629" s="129"/>
      <c r="AA629" s="129"/>
      <c r="AB629" s="129"/>
      <c r="AC629" s="129"/>
      <c r="AD629" s="129"/>
      <c r="AE629" s="129"/>
      <c r="AF629" s="129"/>
      <c r="AG629" s="129"/>
    </row>
    <row r="630" spans="1:33" ht="14.25" customHeight="1">
      <c r="A630" s="199"/>
      <c r="B630" s="128" t="s">
        <v>217</v>
      </c>
      <c r="C630" s="193">
        <f t="shared" ref="C630:C647" si="1">C605</f>
        <v>3.58</v>
      </c>
      <c r="D630" s="128" t="s">
        <v>117</v>
      </c>
      <c r="E630" s="193"/>
      <c r="G630" s="193"/>
      <c r="I630" s="129"/>
      <c r="J630" s="187"/>
      <c r="K630" s="129"/>
      <c r="L630" s="129"/>
      <c r="M630" s="129"/>
      <c r="N630" s="129"/>
      <c r="O630" s="358"/>
      <c r="P630" s="347"/>
      <c r="Q630" s="129"/>
      <c r="R630" s="129"/>
      <c r="S630" s="129"/>
      <c r="T630" s="129"/>
      <c r="U630" s="129"/>
      <c r="V630" s="129"/>
      <c r="W630" s="129"/>
      <c r="X630" s="129"/>
      <c r="Y630" s="129"/>
      <c r="Z630" s="129"/>
      <c r="AA630" s="129"/>
      <c r="AB630" s="129"/>
      <c r="AC630" s="129"/>
      <c r="AD630" s="129"/>
      <c r="AE630" s="129"/>
      <c r="AF630" s="129"/>
      <c r="AG630" s="129"/>
    </row>
    <row r="631" spans="1:33" ht="14.25" customHeight="1">
      <c r="A631" s="199"/>
      <c r="B631" s="128" t="s">
        <v>1181</v>
      </c>
      <c r="C631" s="193">
        <f t="shared" si="1"/>
        <v>4.97</v>
      </c>
      <c r="D631" s="128" t="s">
        <v>117</v>
      </c>
      <c r="E631" s="193"/>
      <c r="G631" s="193"/>
      <c r="I631" s="129"/>
      <c r="J631" s="187"/>
      <c r="K631" s="129"/>
      <c r="L631" s="129"/>
      <c r="M631" s="129"/>
      <c r="N631" s="129"/>
      <c r="O631" s="358"/>
      <c r="P631" s="347"/>
      <c r="Q631" s="129"/>
      <c r="R631" s="129"/>
      <c r="S631" s="129"/>
      <c r="T631" s="129"/>
      <c r="U631" s="129"/>
      <c r="V631" s="129"/>
      <c r="W631" s="129"/>
      <c r="X631" s="129"/>
      <c r="Y631" s="129"/>
      <c r="Z631" s="129"/>
      <c r="AA631" s="129"/>
      <c r="AB631" s="129"/>
      <c r="AC631" s="129"/>
      <c r="AD631" s="129"/>
      <c r="AE631" s="129"/>
      <c r="AF631" s="129"/>
      <c r="AG631" s="129"/>
    </row>
    <row r="632" spans="1:33" ht="14.25" customHeight="1">
      <c r="A632" s="199"/>
      <c r="B632" s="128" t="s">
        <v>461</v>
      </c>
      <c r="C632" s="193">
        <f t="shared" si="1"/>
        <v>15.62</v>
      </c>
      <c r="D632" s="128" t="s">
        <v>117</v>
      </c>
      <c r="E632" s="193"/>
      <c r="G632" s="193"/>
      <c r="I632" s="129"/>
      <c r="J632" s="187"/>
      <c r="K632" s="129"/>
      <c r="L632" s="129"/>
      <c r="M632" s="129"/>
      <c r="N632" s="129"/>
      <c r="O632" s="358"/>
      <c r="P632" s="347"/>
      <c r="Q632" s="129"/>
      <c r="R632" s="129"/>
      <c r="S632" s="129"/>
      <c r="T632" s="129"/>
      <c r="U632" s="129"/>
      <c r="V632" s="129"/>
      <c r="W632" s="129"/>
      <c r="X632" s="129"/>
      <c r="Y632" s="129"/>
      <c r="Z632" s="129"/>
      <c r="AA632" s="129"/>
      <c r="AB632" s="129"/>
      <c r="AC632" s="129"/>
      <c r="AD632" s="129"/>
      <c r="AE632" s="129"/>
      <c r="AF632" s="129"/>
      <c r="AG632" s="129"/>
    </row>
    <row r="633" spans="1:33" ht="14.25" customHeight="1">
      <c r="A633" s="199"/>
      <c r="B633" s="129" t="s">
        <v>365</v>
      </c>
      <c r="C633" s="193">
        <f t="shared" si="1"/>
        <v>36.29</v>
      </c>
      <c r="D633" s="128" t="s">
        <v>117</v>
      </c>
      <c r="E633" s="193"/>
      <c r="G633" s="193"/>
      <c r="I633" s="129"/>
      <c r="J633" s="187"/>
      <c r="K633" s="129"/>
      <c r="L633" s="129"/>
      <c r="M633" s="129"/>
      <c r="N633" s="129"/>
      <c r="O633" s="358"/>
      <c r="P633" s="347"/>
      <c r="Q633" s="129"/>
      <c r="R633" s="129"/>
      <c r="S633" s="129"/>
      <c r="T633" s="129"/>
      <c r="U633" s="129"/>
      <c r="V633" s="129"/>
      <c r="W633" s="129"/>
      <c r="X633" s="129"/>
      <c r="Y633" s="129"/>
      <c r="Z633" s="129"/>
      <c r="AA633" s="129"/>
      <c r="AB633" s="129"/>
      <c r="AC633" s="129"/>
      <c r="AD633" s="129"/>
      <c r="AE633" s="129"/>
      <c r="AF633" s="129"/>
      <c r="AG633" s="129"/>
    </row>
    <row r="634" spans="1:33" ht="14.25" customHeight="1">
      <c r="A634" s="199"/>
      <c r="B634" s="128" t="s">
        <v>219</v>
      </c>
      <c r="C634" s="193">
        <f t="shared" si="1"/>
        <v>6.12</v>
      </c>
      <c r="D634" s="128" t="s">
        <v>117</v>
      </c>
      <c r="E634" s="193"/>
      <c r="G634" s="193"/>
      <c r="I634" s="129"/>
      <c r="J634" s="187"/>
      <c r="K634" s="129"/>
      <c r="L634" s="129"/>
      <c r="M634" s="129"/>
      <c r="N634" s="129"/>
      <c r="O634" s="358"/>
      <c r="P634" s="347"/>
      <c r="Q634" s="129"/>
      <c r="R634" s="129"/>
      <c r="S634" s="129"/>
      <c r="T634" s="129"/>
      <c r="U634" s="129"/>
      <c r="V634" s="129"/>
      <c r="W634" s="129"/>
      <c r="X634" s="129"/>
      <c r="Y634" s="129"/>
      <c r="Z634" s="129"/>
      <c r="AA634" s="129"/>
      <c r="AB634" s="129"/>
      <c r="AC634" s="129"/>
      <c r="AD634" s="129"/>
      <c r="AE634" s="129"/>
      <c r="AF634" s="129"/>
      <c r="AG634" s="129"/>
    </row>
    <row r="635" spans="1:33" ht="14.25" customHeight="1">
      <c r="A635" s="199"/>
      <c r="B635" s="128" t="s">
        <v>286</v>
      </c>
      <c r="C635" s="193">
        <f t="shared" si="1"/>
        <v>9.64</v>
      </c>
      <c r="D635" s="128" t="s">
        <v>117</v>
      </c>
      <c r="E635" s="193"/>
      <c r="G635" s="193"/>
      <c r="I635" s="129"/>
      <c r="J635" s="187"/>
      <c r="K635" s="129"/>
      <c r="L635" s="129"/>
      <c r="M635" s="129"/>
      <c r="N635" s="129"/>
      <c r="O635" s="358"/>
      <c r="P635" s="347"/>
      <c r="Q635" s="129"/>
      <c r="R635" s="129"/>
      <c r="S635" s="129"/>
      <c r="T635" s="129"/>
      <c r="U635" s="129"/>
      <c r="V635" s="129"/>
      <c r="W635" s="129"/>
      <c r="X635" s="129"/>
      <c r="Y635" s="129"/>
      <c r="Z635" s="129"/>
      <c r="AA635" s="129"/>
      <c r="AB635" s="129"/>
      <c r="AC635" s="129"/>
      <c r="AD635" s="129"/>
      <c r="AE635" s="129"/>
      <c r="AF635" s="129"/>
      <c r="AG635" s="129"/>
    </row>
    <row r="636" spans="1:33" ht="14.25" customHeight="1">
      <c r="A636" s="199"/>
      <c r="B636" s="128" t="s">
        <v>284</v>
      </c>
      <c r="C636" s="193">
        <f t="shared" si="1"/>
        <v>7.72</v>
      </c>
      <c r="D636" s="128" t="s">
        <v>117</v>
      </c>
      <c r="E636" s="193"/>
      <c r="G636" s="193"/>
      <c r="I636" s="129"/>
      <c r="J636" s="187"/>
      <c r="K636" s="129"/>
      <c r="L636" s="129"/>
      <c r="M636" s="129"/>
      <c r="N636" s="129"/>
      <c r="O636" s="358"/>
      <c r="P636" s="347"/>
      <c r="Q636" s="129"/>
      <c r="R636" s="129"/>
      <c r="S636" s="129"/>
      <c r="T636" s="129"/>
      <c r="U636" s="129"/>
      <c r="V636" s="129"/>
      <c r="W636" s="129"/>
      <c r="X636" s="129"/>
      <c r="Y636" s="129"/>
      <c r="Z636" s="129"/>
      <c r="AA636" s="129"/>
      <c r="AB636" s="129"/>
      <c r="AC636" s="129"/>
      <c r="AD636" s="129"/>
      <c r="AE636" s="129"/>
      <c r="AF636" s="129"/>
      <c r="AG636" s="129"/>
    </row>
    <row r="637" spans="1:33" ht="14.25" customHeight="1">
      <c r="A637" s="199"/>
      <c r="B637" s="128" t="s">
        <v>283</v>
      </c>
      <c r="C637" s="193">
        <f t="shared" si="1"/>
        <v>4.74</v>
      </c>
      <c r="D637" s="128" t="s">
        <v>117</v>
      </c>
      <c r="E637" s="193"/>
      <c r="G637" s="193"/>
      <c r="I637" s="129"/>
      <c r="J637" s="187"/>
      <c r="K637" s="129"/>
      <c r="L637" s="129"/>
      <c r="M637" s="129"/>
      <c r="N637" s="129"/>
      <c r="O637" s="358"/>
      <c r="P637" s="347"/>
      <c r="Q637" s="129"/>
      <c r="R637" s="129"/>
      <c r="S637" s="129"/>
      <c r="T637" s="129"/>
      <c r="U637" s="129"/>
      <c r="V637" s="129"/>
      <c r="W637" s="129"/>
      <c r="X637" s="129"/>
      <c r="Y637" s="129"/>
      <c r="Z637" s="129"/>
      <c r="AA637" s="129"/>
      <c r="AB637" s="129"/>
      <c r="AC637" s="129"/>
      <c r="AD637" s="129"/>
      <c r="AE637" s="129"/>
      <c r="AF637" s="129"/>
      <c r="AG637" s="129"/>
    </row>
    <row r="638" spans="1:33" ht="14.25" customHeight="1">
      <c r="A638" s="199"/>
      <c r="B638" s="128" t="s">
        <v>1182</v>
      </c>
      <c r="C638" s="193">
        <f t="shared" si="1"/>
        <v>18.82</v>
      </c>
      <c r="D638" s="128" t="s">
        <v>117</v>
      </c>
      <c r="E638" s="193"/>
      <c r="G638" s="193"/>
      <c r="I638" s="129"/>
      <c r="J638" s="187"/>
      <c r="K638" s="129"/>
      <c r="L638" s="129"/>
      <c r="M638" s="129"/>
      <c r="N638" s="129"/>
      <c r="O638" s="358"/>
      <c r="P638" s="347"/>
      <c r="Q638" s="129"/>
      <c r="R638" s="129"/>
      <c r="S638" s="129"/>
      <c r="T638" s="129"/>
      <c r="U638" s="129"/>
      <c r="V638" s="129"/>
      <c r="W638" s="129"/>
      <c r="X638" s="129"/>
      <c r="Y638" s="129"/>
      <c r="Z638" s="129"/>
      <c r="AA638" s="129"/>
      <c r="AB638" s="129"/>
      <c r="AC638" s="129"/>
      <c r="AD638" s="129"/>
      <c r="AE638" s="129"/>
      <c r="AF638" s="129"/>
      <c r="AG638" s="129"/>
    </row>
    <row r="639" spans="1:33" ht="14.25" customHeight="1">
      <c r="A639" s="199"/>
      <c r="B639" s="128" t="s">
        <v>1177</v>
      </c>
      <c r="C639" s="193">
        <f t="shared" si="1"/>
        <v>11</v>
      </c>
      <c r="D639" s="128" t="s">
        <v>117</v>
      </c>
      <c r="E639" s="193"/>
      <c r="G639" s="193"/>
      <c r="I639" s="129"/>
      <c r="J639" s="187"/>
      <c r="K639" s="129"/>
      <c r="L639" s="129"/>
      <c r="M639" s="129"/>
      <c r="N639" s="129"/>
      <c r="O639" s="358"/>
      <c r="P639" s="347"/>
      <c r="Q639" s="129"/>
      <c r="R639" s="129"/>
      <c r="S639" s="129"/>
      <c r="T639" s="129"/>
      <c r="U639" s="129"/>
      <c r="V639" s="129"/>
      <c r="W639" s="129"/>
      <c r="X639" s="129"/>
      <c r="Y639" s="129"/>
      <c r="Z639" s="129"/>
      <c r="AA639" s="129"/>
      <c r="AB639" s="129"/>
      <c r="AC639" s="129"/>
      <c r="AD639" s="129"/>
      <c r="AE639" s="129"/>
      <c r="AF639" s="129"/>
      <c r="AG639" s="129"/>
    </row>
    <row r="640" spans="1:33" ht="14.25" customHeight="1">
      <c r="A640" s="199"/>
      <c r="B640" s="128" t="s">
        <v>1178</v>
      </c>
      <c r="C640" s="193">
        <f t="shared" si="1"/>
        <v>16.2</v>
      </c>
      <c r="D640" s="128" t="s">
        <v>117</v>
      </c>
      <c r="E640" s="193"/>
      <c r="G640" s="193"/>
      <c r="I640" s="129"/>
      <c r="J640" s="187"/>
      <c r="K640" s="129"/>
      <c r="L640" s="129"/>
      <c r="M640" s="129"/>
      <c r="N640" s="129"/>
      <c r="O640" s="358"/>
      <c r="P640" s="347"/>
      <c r="Q640" s="129"/>
      <c r="R640" s="129"/>
      <c r="S640" s="129"/>
      <c r="T640" s="129"/>
      <c r="U640" s="129"/>
      <c r="V640" s="129"/>
      <c r="W640" s="129"/>
      <c r="X640" s="129"/>
      <c r="Y640" s="129"/>
      <c r="Z640" s="129"/>
      <c r="AA640" s="129"/>
      <c r="AB640" s="129"/>
      <c r="AC640" s="129"/>
      <c r="AD640" s="129"/>
      <c r="AE640" s="129"/>
      <c r="AF640" s="129"/>
      <c r="AG640" s="129"/>
    </row>
    <row r="641" spans="1:33" ht="14.25" customHeight="1">
      <c r="A641" s="199"/>
      <c r="B641" s="128" t="s">
        <v>1169</v>
      </c>
      <c r="C641" s="193">
        <f t="shared" si="1"/>
        <v>14.25</v>
      </c>
      <c r="D641" s="128" t="s">
        <v>117</v>
      </c>
      <c r="E641" s="193"/>
      <c r="G641" s="193"/>
      <c r="I641" s="129"/>
      <c r="J641" s="187"/>
      <c r="K641" s="129"/>
      <c r="L641" s="129"/>
      <c r="M641" s="129"/>
      <c r="N641" s="129"/>
      <c r="O641" s="358"/>
      <c r="P641" s="347"/>
      <c r="Q641" s="129"/>
      <c r="R641" s="129"/>
      <c r="S641" s="129"/>
      <c r="T641" s="129"/>
      <c r="U641" s="129"/>
      <c r="V641" s="129"/>
      <c r="W641" s="129"/>
      <c r="X641" s="129"/>
      <c r="Y641" s="129"/>
      <c r="Z641" s="129"/>
      <c r="AA641" s="129"/>
      <c r="AB641" s="129"/>
      <c r="AC641" s="129"/>
      <c r="AD641" s="129"/>
      <c r="AE641" s="129"/>
      <c r="AF641" s="129"/>
      <c r="AG641" s="129"/>
    </row>
    <row r="642" spans="1:33" ht="14.25" customHeight="1">
      <c r="A642" s="199"/>
      <c r="B642" s="128" t="s">
        <v>1179</v>
      </c>
      <c r="C642" s="193">
        <f t="shared" si="1"/>
        <v>16.2</v>
      </c>
      <c r="D642" s="128" t="s">
        <v>117</v>
      </c>
      <c r="E642" s="193"/>
      <c r="G642" s="193"/>
      <c r="I642" s="129"/>
      <c r="J642" s="187"/>
      <c r="K642" s="129"/>
      <c r="L642" s="129"/>
      <c r="M642" s="129"/>
      <c r="N642" s="129"/>
      <c r="O642" s="358"/>
      <c r="P642" s="347"/>
      <c r="Q642" s="129"/>
      <c r="R642" s="129"/>
      <c r="S642" s="129"/>
      <c r="T642" s="129"/>
      <c r="U642" s="129"/>
      <c r="V642" s="129"/>
      <c r="W642" s="129"/>
      <c r="X642" s="129"/>
      <c r="Y642" s="129"/>
      <c r="Z642" s="129"/>
      <c r="AA642" s="129"/>
      <c r="AB642" s="129"/>
      <c r="AC642" s="129"/>
      <c r="AD642" s="129"/>
      <c r="AE642" s="129"/>
      <c r="AF642" s="129"/>
      <c r="AG642" s="129"/>
    </row>
    <row r="643" spans="1:33" ht="14.25" customHeight="1">
      <c r="A643" s="199"/>
      <c r="B643" s="128" t="s">
        <v>288</v>
      </c>
      <c r="C643" s="193">
        <f t="shared" si="1"/>
        <v>2.88</v>
      </c>
      <c r="D643" s="128" t="s">
        <v>117</v>
      </c>
      <c r="E643" s="193"/>
      <c r="G643" s="193"/>
      <c r="I643" s="129"/>
      <c r="J643" s="187"/>
      <c r="K643" s="129"/>
      <c r="L643" s="129"/>
      <c r="M643" s="129"/>
      <c r="N643" s="129"/>
      <c r="O643" s="358"/>
      <c r="P643" s="347"/>
      <c r="Q643" s="129"/>
      <c r="R643" s="129"/>
      <c r="S643" s="129"/>
      <c r="T643" s="129"/>
      <c r="U643" s="129"/>
      <c r="V643" s="129"/>
      <c r="W643" s="129"/>
      <c r="X643" s="129"/>
      <c r="Y643" s="129"/>
      <c r="Z643" s="129"/>
      <c r="AA643" s="129"/>
      <c r="AB643" s="129"/>
      <c r="AC643" s="129"/>
      <c r="AD643" s="129"/>
      <c r="AE643" s="129"/>
      <c r="AF643" s="129"/>
      <c r="AG643" s="129"/>
    </row>
    <row r="644" spans="1:33" ht="14.25" customHeight="1">
      <c r="A644" s="199"/>
      <c r="B644" s="128" t="s">
        <v>287</v>
      </c>
      <c r="C644" s="193">
        <f t="shared" si="1"/>
        <v>2.88</v>
      </c>
      <c r="D644" s="128" t="s">
        <v>117</v>
      </c>
      <c r="E644" s="193"/>
      <c r="G644" s="193"/>
      <c r="I644" s="129"/>
      <c r="J644" s="187"/>
      <c r="K644" s="129"/>
      <c r="L644" s="129"/>
      <c r="M644" s="129"/>
      <c r="N644" s="129"/>
      <c r="O644" s="358"/>
      <c r="P644" s="347"/>
      <c r="Q644" s="129"/>
      <c r="R644" s="129"/>
      <c r="S644" s="129"/>
      <c r="T644" s="129"/>
      <c r="U644" s="129"/>
      <c r="V644" s="129"/>
      <c r="W644" s="129"/>
      <c r="X644" s="129"/>
      <c r="Y644" s="129"/>
      <c r="Z644" s="129"/>
      <c r="AA644" s="129"/>
      <c r="AB644" s="129"/>
      <c r="AC644" s="129"/>
      <c r="AD644" s="129"/>
      <c r="AE644" s="129"/>
      <c r="AF644" s="129"/>
      <c r="AG644" s="129"/>
    </row>
    <row r="645" spans="1:33" ht="14.25" customHeight="1">
      <c r="A645" s="199"/>
      <c r="B645" s="128" t="s">
        <v>158</v>
      </c>
      <c r="C645" s="193">
        <f t="shared" si="1"/>
        <v>19.2</v>
      </c>
      <c r="D645" s="128" t="s">
        <v>117</v>
      </c>
      <c r="E645" s="193"/>
      <c r="G645" s="193"/>
      <c r="I645" s="129"/>
      <c r="J645" s="187"/>
      <c r="K645" s="129"/>
      <c r="L645" s="129"/>
      <c r="M645" s="129"/>
      <c r="N645" s="129"/>
      <c r="O645" s="358"/>
      <c r="P645" s="347"/>
      <c r="Q645" s="129"/>
      <c r="R645" s="129"/>
      <c r="S645" s="129"/>
      <c r="T645" s="129"/>
      <c r="U645" s="129"/>
      <c r="V645" s="129"/>
      <c r="W645" s="129"/>
      <c r="X645" s="129"/>
      <c r="Y645" s="129"/>
      <c r="Z645" s="129"/>
      <c r="AA645" s="129"/>
      <c r="AB645" s="129"/>
      <c r="AC645" s="129"/>
      <c r="AD645" s="129"/>
      <c r="AE645" s="129"/>
      <c r="AF645" s="129"/>
      <c r="AG645" s="129"/>
    </row>
    <row r="646" spans="1:33" ht="14.25">
      <c r="A646" s="199"/>
      <c r="B646" s="129" t="s">
        <v>281</v>
      </c>
      <c r="C646" s="193">
        <f t="shared" si="1"/>
        <v>3.78</v>
      </c>
      <c r="D646" s="128" t="s">
        <v>117</v>
      </c>
      <c r="E646" s="193"/>
      <c r="G646" s="193"/>
      <c r="I646" s="129"/>
      <c r="J646" s="187"/>
      <c r="K646" s="129"/>
      <c r="L646" s="129"/>
      <c r="M646" s="129"/>
      <c r="N646" s="129"/>
      <c r="O646" s="358"/>
      <c r="P646" s="347"/>
      <c r="Q646" s="129"/>
      <c r="R646" s="129"/>
      <c r="S646" s="129"/>
      <c r="T646" s="129"/>
      <c r="U646" s="129"/>
      <c r="V646" s="129"/>
      <c r="W646" s="129"/>
      <c r="X646" s="129"/>
      <c r="Y646" s="129"/>
      <c r="Z646" s="129"/>
      <c r="AA646" s="129"/>
      <c r="AB646" s="129"/>
      <c r="AC646" s="129"/>
      <c r="AD646" s="129"/>
      <c r="AE646" s="129"/>
      <c r="AF646" s="129"/>
      <c r="AG646" s="129"/>
    </row>
    <row r="647" spans="1:33" ht="14.25" customHeight="1">
      <c r="A647" s="199"/>
      <c r="B647" s="128" t="s">
        <v>282</v>
      </c>
      <c r="C647" s="193">
        <f t="shared" si="1"/>
        <v>3.78</v>
      </c>
      <c r="D647" s="128" t="s">
        <v>117</v>
      </c>
      <c r="E647" s="193"/>
      <c r="G647" s="193"/>
      <c r="I647" s="129"/>
      <c r="J647" s="187"/>
      <c r="K647" s="129"/>
      <c r="L647" s="129"/>
      <c r="M647" s="129"/>
      <c r="N647" s="129"/>
      <c r="O647" s="358"/>
      <c r="P647" s="347"/>
      <c r="Q647" s="129"/>
      <c r="R647" s="129"/>
      <c r="S647" s="129"/>
      <c r="T647" s="129"/>
      <c r="U647" s="129"/>
      <c r="V647" s="129"/>
      <c r="W647" s="129"/>
      <c r="X647" s="129"/>
      <c r="Y647" s="129"/>
      <c r="Z647" s="129"/>
      <c r="AA647" s="129"/>
      <c r="AB647" s="129"/>
      <c r="AC647" s="129"/>
      <c r="AD647" s="129"/>
      <c r="AE647" s="129"/>
      <c r="AF647" s="129"/>
      <c r="AG647" s="129"/>
    </row>
    <row r="648" spans="1:33" ht="14.25" customHeight="1">
      <c r="A648" s="199"/>
      <c r="C648" s="193"/>
      <c r="E648" s="193"/>
      <c r="G648" s="193"/>
      <c r="I648" s="129"/>
      <c r="J648" s="187"/>
      <c r="K648" s="129"/>
      <c r="L648" s="129"/>
      <c r="M648" s="129"/>
      <c r="N648" s="129"/>
      <c r="O648" s="358"/>
      <c r="P648" s="347"/>
      <c r="Q648" s="129"/>
      <c r="R648" s="129"/>
      <c r="S648" s="129"/>
      <c r="T648" s="129"/>
      <c r="U648" s="129"/>
      <c r="V648" s="129"/>
      <c r="W648" s="129"/>
      <c r="X648" s="129"/>
      <c r="Y648" s="129"/>
      <c r="Z648" s="129"/>
      <c r="AA648" s="129"/>
      <c r="AB648" s="129"/>
      <c r="AC648" s="129"/>
      <c r="AD648" s="129"/>
      <c r="AE648" s="129"/>
      <c r="AF648" s="129"/>
      <c r="AG648" s="129"/>
    </row>
    <row r="649" spans="1:33" s="191" customFormat="1" ht="14.25" customHeight="1">
      <c r="A649" s="260"/>
      <c r="B649" s="261" t="s">
        <v>92</v>
      </c>
      <c r="C649" s="274">
        <f>SUM(C629:C647)</f>
        <v>206.89999999999995</v>
      </c>
      <c r="D649" s="191" t="s">
        <v>42</v>
      </c>
      <c r="G649" s="192"/>
      <c r="I649" s="261"/>
      <c r="J649" s="200"/>
      <c r="K649" s="261"/>
      <c r="L649" s="261"/>
      <c r="M649" s="261"/>
      <c r="N649" s="261"/>
      <c r="O649" s="370"/>
      <c r="P649" s="371"/>
      <c r="Q649" s="372"/>
    </row>
    <row r="650" spans="1:33" ht="14.25" customHeight="1">
      <c r="A650" s="199"/>
      <c r="B650" s="129"/>
      <c r="C650" s="193"/>
      <c r="G650" s="193"/>
      <c r="I650" s="129"/>
      <c r="J650" s="187"/>
      <c r="K650" s="129"/>
      <c r="L650" s="129"/>
      <c r="M650" s="129"/>
      <c r="N650" s="129"/>
      <c r="O650" s="358"/>
      <c r="P650" s="347"/>
      <c r="Q650" s="373"/>
    </row>
    <row r="651" spans="1:33">
      <c r="A651" s="245" t="s">
        <v>368</v>
      </c>
      <c r="B651" s="572" t="s">
        <v>462</v>
      </c>
      <c r="C651" s="545"/>
      <c r="D651" s="545"/>
      <c r="E651" s="545"/>
      <c r="F651" s="545"/>
      <c r="G651" s="545"/>
      <c r="H651" s="545"/>
      <c r="I651" s="545"/>
      <c r="J651" s="545"/>
      <c r="K651" s="545"/>
      <c r="L651" s="545"/>
      <c r="M651" s="545"/>
      <c r="N651" s="545"/>
      <c r="O651" s="252">
        <v>98682</v>
      </c>
      <c r="P651" s="350"/>
      <c r="Q651" s="373"/>
    </row>
    <row r="652" spans="1:33" ht="14.25" customHeight="1">
      <c r="A652" s="298"/>
      <c r="B652" s="299"/>
      <c r="C652" s="196"/>
      <c r="D652" s="196"/>
      <c r="E652" s="196"/>
      <c r="F652" s="196"/>
      <c r="G652" s="196"/>
      <c r="H652" s="196"/>
      <c r="I652" s="196"/>
      <c r="J652" s="196"/>
      <c r="K652" s="196"/>
      <c r="L652" s="196"/>
      <c r="M652" s="196"/>
      <c r="N652" s="196"/>
      <c r="O652" s="252"/>
      <c r="P652" s="350"/>
      <c r="Q652" s="129"/>
    </row>
    <row r="653" spans="1:33" ht="14.25" customHeight="1">
      <c r="A653" s="190"/>
      <c r="B653" s="191"/>
      <c r="C653" s="193" t="s">
        <v>77</v>
      </c>
      <c r="E653" s="193"/>
      <c r="G653" s="193"/>
      <c r="O653" s="339"/>
      <c r="P653" s="347"/>
      <c r="Q653" s="129"/>
      <c r="R653" s="129"/>
      <c r="S653" s="129"/>
      <c r="T653" s="129"/>
      <c r="U653" s="129"/>
      <c r="V653" s="129"/>
      <c r="W653" s="129"/>
      <c r="X653" s="129"/>
      <c r="Y653" s="129"/>
      <c r="Z653" s="129"/>
      <c r="AA653" s="129"/>
      <c r="AB653" s="129"/>
      <c r="AC653" s="129"/>
      <c r="AD653" s="129"/>
      <c r="AE653" s="129"/>
      <c r="AF653" s="129"/>
      <c r="AG653" s="129"/>
    </row>
    <row r="654" spans="1:33" ht="14.25" customHeight="1">
      <c r="A654" s="199"/>
      <c r="B654" s="128" t="s">
        <v>285</v>
      </c>
      <c r="C654" s="193">
        <v>261.02</v>
      </c>
      <c r="D654" s="128" t="s">
        <v>117</v>
      </c>
      <c r="G654" s="193"/>
      <c r="I654" s="129"/>
      <c r="J654" s="187"/>
      <c r="K654" s="129"/>
      <c r="L654" s="129"/>
      <c r="M654" s="129"/>
      <c r="N654" s="129"/>
      <c r="O654" s="358"/>
      <c r="P654" s="347"/>
      <c r="Q654" s="129"/>
      <c r="R654" s="129"/>
      <c r="S654" s="129"/>
      <c r="T654" s="129"/>
      <c r="U654" s="129"/>
      <c r="V654" s="129"/>
      <c r="W654" s="129"/>
      <c r="X654" s="129"/>
      <c r="Y654" s="129"/>
      <c r="Z654" s="129"/>
      <c r="AA654" s="129"/>
      <c r="AB654" s="129"/>
      <c r="AC654" s="129"/>
      <c r="AD654" s="129"/>
      <c r="AE654" s="129"/>
      <c r="AF654" s="129"/>
      <c r="AG654" s="129"/>
    </row>
    <row r="655" spans="1:33" ht="14.25" customHeight="1">
      <c r="A655" s="199"/>
      <c r="B655" s="128" t="s">
        <v>291</v>
      </c>
      <c r="C655" s="193">
        <v>28.98</v>
      </c>
      <c r="D655" s="128" t="s">
        <v>117</v>
      </c>
      <c r="E655" s="193"/>
      <c r="G655" s="193"/>
      <c r="I655" s="129"/>
      <c r="J655" s="187"/>
      <c r="K655" s="129"/>
      <c r="L655" s="129"/>
      <c r="M655" s="129"/>
      <c r="N655" s="129"/>
      <c r="O655" s="358"/>
      <c r="P655" s="347"/>
      <c r="Q655" s="129"/>
      <c r="R655" s="129"/>
      <c r="S655" s="129"/>
      <c r="T655" s="129"/>
      <c r="U655" s="129"/>
      <c r="V655" s="129"/>
      <c r="W655" s="129"/>
      <c r="X655" s="129"/>
      <c r="Y655" s="129"/>
      <c r="Z655" s="129"/>
      <c r="AA655" s="129"/>
      <c r="AB655" s="129"/>
      <c r="AC655" s="129"/>
      <c r="AD655" s="129"/>
      <c r="AE655" s="129"/>
      <c r="AF655" s="129"/>
      <c r="AG655" s="129"/>
    </row>
    <row r="656" spans="1:33" ht="14.25" customHeight="1">
      <c r="A656" s="199"/>
      <c r="B656" s="128" t="s">
        <v>292</v>
      </c>
      <c r="C656" s="193">
        <v>31.54</v>
      </c>
      <c r="D656" s="128" t="s">
        <v>117</v>
      </c>
      <c r="E656" s="193"/>
      <c r="G656" s="193"/>
      <c r="I656" s="129"/>
      <c r="J656" s="187"/>
      <c r="K656" s="129"/>
      <c r="L656" s="129"/>
      <c r="M656" s="129"/>
      <c r="N656" s="129"/>
      <c r="O656" s="358"/>
      <c r="P656" s="347"/>
      <c r="Q656" s="129"/>
      <c r="R656" s="129"/>
      <c r="S656" s="129"/>
      <c r="T656" s="129"/>
      <c r="U656" s="129"/>
      <c r="V656" s="129"/>
      <c r="W656" s="129"/>
      <c r="X656" s="129"/>
      <c r="Y656" s="129"/>
      <c r="Z656" s="129"/>
      <c r="AA656" s="129"/>
      <c r="AB656" s="129"/>
      <c r="AC656" s="129"/>
      <c r="AD656" s="129"/>
      <c r="AE656" s="129"/>
      <c r="AF656" s="129"/>
      <c r="AG656" s="129"/>
    </row>
    <row r="657" spans="1:33" ht="14.25" customHeight="1">
      <c r="A657" s="199"/>
      <c r="B657" s="128" t="s">
        <v>293</v>
      </c>
      <c r="C657" s="193">
        <v>31.66</v>
      </c>
      <c r="D657" s="128" t="s">
        <v>117</v>
      </c>
      <c r="E657" s="193"/>
      <c r="G657" s="193"/>
      <c r="I657" s="129"/>
      <c r="J657" s="187"/>
      <c r="K657" s="129"/>
      <c r="L657" s="129"/>
      <c r="M657" s="129"/>
      <c r="N657" s="129"/>
      <c r="O657" s="358"/>
      <c r="P657" s="347"/>
      <c r="Q657" s="129"/>
      <c r="R657" s="129"/>
      <c r="S657" s="129"/>
      <c r="T657" s="129"/>
      <c r="U657" s="129"/>
      <c r="V657" s="129"/>
      <c r="W657" s="129"/>
      <c r="X657" s="129"/>
      <c r="Y657" s="129"/>
      <c r="Z657" s="129"/>
      <c r="AA657" s="129"/>
      <c r="AB657" s="129"/>
      <c r="AC657" s="129"/>
      <c r="AD657" s="129"/>
      <c r="AE657" s="129"/>
      <c r="AF657" s="129"/>
      <c r="AG657" s="129"/>
    </row>
    <row r="658" spans="1:33" ht="14.25" customHeight="1">
      <c r="A658" s="199"/>
      <c r="B658" s="128" t="s">
        <v>1184</v>
      </c>
      <c r="C658" s="193">
        <v>31.98</v>
      </c>
      <c r="D658" s="128" t="s">
        <v>117</v>
      </c>
      <c r="E658" s="193"/>
      <c r="G658" s="193"/>
      <c r="I658" s="129"/>
      <c r="J658" s="187"/>
      <c r="K658" s="129"/>
      <c r="L658" s="129"/>
      <c r="M658" s="129"/>
      <c r="N658" s="129"/>
      <c r="O658" s="358"/>
      <c r="P658" s="347"/>
      <c r="Q658" s="129"/>
      <c r="R658" s="129"/>
      <c r="S658" s="129"/>
      <c r="T658" s="129"/>
      <c r="U658" s="129"/>
      <c r="V658" s="129"/>
      <c r="W658" s="129"/>
      <c r="X658" s="129"/>
      <c r="Y658" s="129"/>
      <c r="Z658" s="129"/>
      <c r="AA658" s="129"/>
      <c r="AB658" s="129"/>
      <c r="AC658" s="129"/>
      <c r="AD658" s="129"/>
      <c r="AE658" s="129"/>
      <c r="AF658" s="129"/>
      <c r="AG658" s="129"/>
    </row>
    <row r="659" spans="1:33" ht="14.25" customHeight="1">
      <c r="A659" s="199"/>
      <c r="B659" s="128" t="s">
        <v>220</v>
      </c>
      <c r="C659" s="193">
        <v>66.12</v>
      </c>
      <c r="D659" s="128" t="s">
        <v>117</v>
      </c>
      <c r="E659" s="193"/>
      <c r="G659" s="193"/>
      <c r="I659" s="129"/>
      <c r="J659" s="187"/>
      <c r="K659" s="129"/>
      <c r="L659" s="129"/>
      <c r="M659" s="129"/>
      <c r="N659" s="129"/>
      <c r="O659" s="358"/>
      <c r="P659" s="347"/>
      <c r="Q659" s="129"/>
      <c r="R659" s="129"/>
      <c r="S659" s="129"/>
      <c r="T659" s="129"/>
      <c r="U659" s="129"/>
      <c r="V659" s="129"/>
      <c r="W659" s="129"/>
      <c r="X659" s="129"/>
      <c r="Y659" s="129"/>
      <c r="Z659" s="129"/>
      <c r="AA659" s="129"/>
      <c r="AB659" s="129"/>
      <c r="AC659" s="129"/>
      <c r="AD659" s="129"/>
      <c r="AE659" s="129"/>
      <c r="AF659" s="129"/>
      <c r="AG659" s="129"/>
    </row>
    <row r="660" spans="1:33" ht="14.25" customHeight="1">
      <c r="A660" s="199"/>
      <c r="C660" s="193"/>
      <c r="E660" s="193"/>
      <c r="G660" s="193"/>
      <c r="I660" s="129"/>
      <c r="J660" s="187"/>
      <c r="K660" s="129"/>
      <c r="L660" s="129"/>
      <c r="M660" s="129"/>
      <c r="N660" s="129"/>
      <c r="O660" s="358"/>
      <c r="P660" s="347"/>
      <c r="Q660" s="129"/>
      <c r="R660" s="129"/>
      <c r="S660" s="129"/>
      <c r="T660" s="129"/>
      <c r="U660" s="129"/>
      <c r="V660" s="129"/>
      <c r="W660" s="129"/>
      <c r="X660" s="129"/>
      <c r="Y660" s="129"/>
      <c r="Z660" s="129"/>
      <c r="AA660" s="129"/>
      <c r="AB660" s="129"/>
      <c r="AC660" s="129"/>
      <c r="AD660" s="129"/>
      <c r="AE660" s="129"/>
      <c r="AF660" s="129"/>
      <c r="AG660" s="129"/>
    </row>
    <row r="661" spans="1:33" s="191" customFormat="1" ht="14.25" customHeight="1">
      <c r="A661" s="260"/>
      <c r="B661" s="191" t="s">
        <v>92</v>
      </c>
      <c r="C661" s="192">
        <f>SUM(C654:C659)</f>
        <v>451.30000000000007</v>
      </c>
      <c r="D661" s="191" t="s">
        <v>42</v>
      </c>
      <c r="E661" s="192"/>
      <c r="G661" s="192"/>
      <c r="I661" s="261"/>
      <c r="J661" s="200"/>
      <c r="K661" s="261"/>
      <c r="L661" s="261"/>
      <c r="M661" s="261"/>
      <c r="N661" s="261"/>
      <c r="O661" s="370"/>
      <c r="P661" s="371"/>
      <c r="Q661" s="261"/>
      <c r="R661" s="261"/>
      <c r="S661" s="261"/>
      <c r="T661" s="261"/>
      <c r="U661" s="261"/>
      <c r="V661" s="261"/>
      <c r="W661" s="261"/>
      <c r="X661" s="261"/>
      <c r="Y661" s="261"/>
      <c r="Z661" s="261"/>
      <c r="AA661" s="261"/>
      <c r="AB661" s="261"/>
      <c r="AC661" s="261"/>
      <c r="AD661" s="261"/>
      <c r="AE661" s="261"/>
      <c r="AF661" s="261"/>
      <c r="AG661" s="261"/>
    </row>
    <row r="662" spans="1:33" ht="14.25" customHeight="1">
      <c r="A662" s="199"/>
      <c r="C662" s="193"/>
      <c r="E662" s="193"/>
      <c r="G662" s="193"/>
      <c r="I662" s="129"/>
      <c r="J662" s="187"/>
      <c r="K662" s="129"/>
      <c r="L662" s="129"/>
      <c r="M662" s="129"/>
      <c r="N662" s="129"/>
      <c r="O662" s="358"/>
      <c r="P662" s="347"/>
      <c r="Q662" s="129"/>
      <c r="R662" s="129"/>
      <c r="S662" s="129"/>
      <c r="T662" s="129"/>
      <c r="U662" s="129"/>
      <c r="V662" s="129"/>
      <c r="W662" s="129"/>
      <c r="X662" s="129"/>
      <c r="Y662" s="129"/>
      <c r="Z662" s="129"/>
      <c r="AA662" s="129"/>
      <c r="AB662" s="129"/>
      <c r="AC662" s="129"/>
      <c r="AD662" s="129"/>
      <c r="AE662" s="129"/>
      <c r="AF662" s="129"/>
      <c r="AG662" s="129"/>
    </row>
    <row r="663" spans="1:33" ht="14.25" customHeight="1">
      <c r="A663" s="296" t="s">
        <v>369</v>
      </c>
      <c r="B663" s="587" t="s">
        <v>296</v>
      </c>
      <c r="C663" s="550"/>
      <c r="D663" s="550"/>
      <c r="E663" s="550"/>
      <c r="F663" s="550"/>
      <c r="G663" s="550"/>
      <c r="H663" s="550"/>
      <c r="I663" s="550"/>
      <c r="J663" s="550"/>
      <c r="K663" s="550"/>
      <c r="L663" s="550"/>
      <c r="M663" s="550"/>
      <c r="N663" s="550"/>
      <c r="O663" s="252">
        <v>101727</v>
      </c>
      <c r="P663" s="350"/>
      <c r="Q663" s="129"/>
    </row>
    <row r="664" spans="1:33" ht="14.25" customHeight="1">
      <c r="A664" s="194"/>
      <c r="B664" s="297"/>
      <c r="C664" s="297"/>
      <c r="D664" s="297"/>
      <c r="E664" s="297"/>
      <c r="F664" s="297"/>
      <c r="G664" s="297"/>
      <c r="H664" s="297"/>
      <c r="I664" s="297"/>
      <c r="J664" s="297"/>
      <c r="K664" s="297"/>
      <c r="L664" s="297"/>
      <c r="M664" s="297"/>
      <c r="N664" s="297"/>
      <c r="O664" s="252"/>
      <c r="P664" s="347"/>
      <c r="Q664" s="129"/>
    </row>
    <row r="665" spans="1:33" ht="14.25" customHeight="1">
      <c r="A665" s="190"/>
      <c r="B665" s="191"/>
      <c r="C665" s="193" t="s">
        <v>77</v>
      </c>
      <c r="E665" s="193"/>
      <c r="G665" s="193"/>
      <c r="O665" s="339"/>
      <c r="P665" s="347"/>
      <c r="Q665" s="129"/>
      <c r="R665" s="129"/>
      <c r="S665" s="129"/>
      <c r="T665" s="129"/>
      <c r="U665" s="129"/>
      <c r="V665" s="129"/>
      <c r="W665" s="129"/>
      <c r="X665" s="129"/>
      <c r="Y665" s="129"/>
      <c r="Z665" s="129"/>
      <c r="AA665" s="129"/>
      <c r="AB665" s="129"/>
      <c r="AC665" s="129"/>
      <c r="AD665" s="129"/>
      <c r="AE665" s="129"/>
      <c r="AF665" s="129"/>
      <c r="AG665" s="129"/>
    </row>
    <row r="666" spans="1:33" ht="14.25" customHeight="1">
      <c r="A666" s="199"/>
      <c r="B666" s="128" t="s">
        <v>294</v>
      </c>
      <c r="C666" s="193">
        <f>C597</f>
        <v>35.83</v>
      </c>
      <c r="D666" s="128" t="s">
        <v>117</v>
      </c>
      <c r="E666" s="193"/>
      <c r="G666" s="193"/>
      <c r="I666" s="129"/>
      <c r="J666" s="187"/>
      <c r="K666" s="129"/>
      <c r="L666" s="129"/>
      <c r="M666" s="129"/>
      <c r="N666" s="129"/>
      <c r="O666" s="358"/>
      <c r="P666" s="347"/>
      <c r="Q666" s="129"/>
      <c r="R666" s="129"/>
      <c r="S666" s="129"/>
      <c r="T666" s="129"/>
      <c r="U666" s="129"/>
      <c r="V666" s="129"/>
      <c r="W666" s="129"/>
      <c r="X666" s="129"/>
      <c r="Y666" s="129"/>
      <c r="Z666" s="129"/>
      <c r="AA666" s="129"/>
      <c r="AB666" s="129"/>
      <c r="AC666" s="129"/>
      <c r="AD666" s="129"/>
      <c r="AE666" s="129"/>
      <c r="AF666" s="129"/>
      <c r="AG666" s="129"/>
    </row>
    <row r="667" spans="1:33" ht="14.25" customHeight="1">
      <c r="A667" s="199"/>
      <c r="B667" s="128" t="s">
        <v>289</v>
      </c>
      <c r="C667" s="193">
        <f t="shared" ref="C667:C672" si="2">C598</f>
        <v>35.880000000000003</v>
      </c>
      <c r="D667" s="128" t="s">
        <v>117</v>
      </c>
      <c r="E667" s="193"/>
      <c r="G667" s="193"/>
      <c r="I667" s="129"/>
      <c r="J667" s="187"/>
      <c r="K667" s="129"/>
      <c r="L667" s="129"/>
      <c r="M667" s="129"/>
      <c r="N667" s="129"/>
      <c r="O667" s="358"/>
      <c r="P667" s="347"/>
      <c r="Q667" s="129"/>
      <c r="R667" s="129"/>
      <c r="S667" s="129"/>
      <c r="T667" s="129"/>
      <c r="U667" s="129"/>
      <c r="V667" s="129"/>
      <c r="W667" s="129"/>
      <c r="X667" s="129"/>
      <c r="Y667" s="129"/>
      <c r="Z667" s="129"/>
      <c r="AA667" s="129"/>
      <c r="AB667" s="129"/>
      <c r="AC667" s="129"/>
      <c r="AD667" s="129"/>
      <c r="AE667" s="129"/>
      <c r="AF667" s="129"/>
      <c r="AG667" s="129"/>
    </row>
    <row r="668" spans="1:33" ht="14.25" customHeight="1">
      <c r="A668" s="199"/>
      <c r="B668" s="128" t="s">
        <v>290</v>
      </c>
      <c r="C668" s="193">
        <f t="shared" si="2"/>
        <v>35.880000000000003</v>
      </c>
      <c r="D668" s="128" t="s">
        <v>117</v>
      </c>
      <c r="E668" s="193"/>
      <c r="G668" s="193"/>
      <c r="I668" s="129"/>
      <c r="J668" s="187"/>
      <c r="K668" s="129"/>
      <c r="L668" s="129"/>
      <c r="M668" s="129"/>
      <c r="N668" s="129"/>
      <c r="O668" s="358"/>
      <c r="P668" s="347"/>
      <c r="Q668" s="129"/>
      <c r="R668" s="129"/>
      <c r="S668" s="129"/>
      <c r="T668" s="129"/>
      <c r="U668" s="129"/>
      <c r="V668" s="129"/>
      <c r="W668" s="129"/>
      <c r="X668" s="129"/>
      <c r="Y668" s="129"/>
      <c r="Z668" s="129"/>
      <c r="AA668" s="129"/>
      <c r="AB668" s="129"/>
      <c r="AC668" s="129"/>
      <c r="AD668" s="129"/>
      <c r="AE668" s="129"/>
      <c r="AF668" s="129"/>
      <c r="AG668" s="129"/>
    </row>
    <row r="669" spans="1:33" ht="14.25">
      <c r="A669" s="199"/>
      <c r="B669" s="128" t="s">
        <v>295</v>
      </c>
      <c r="C669" s="193">
        <f t="shared" si="2"/>
        <v>35.880000000000003</v>
      </c>
      <c r="D669" s="128" t="s">
        <v>117</v>
      </c>
      <c r="E669" s="193"/>
      <c r="G669" s="193"/>
      <c r="I669" s="129"/>
      <c r="J669" s="187"/>
      <c r="K669" s="129"/>
      <c r="L669" s="129"/>
      <c r="M669" s="129"/>
      <c r="N669" s="129"/>
      <c r="O669" s="358"/>
      <c r="P669" s="347"/>
      <c r="Q669" s="129"/>
      <c r="R669" s="129"/>
      <c r="S669" s="129"/>
      <c r="T669" s="129"/>
      <c r="U669" s="129"/>
      <c r="V669" s="129"/>
      <c r="W669" s="129"/>
      <c r="X669" s="129"/>
      <c r="Y669" s="129"/>
      <c r="Z669" s="129"/>
      <c r="AA669" s="129"/>
      <c r="AB669" s="129"/>
      <c r="AC669" s="129"/>
      <c r="AD669" s="129"/>
      <c r="AE669" s="129"/>
      <c r="AF669" s="129"/>
      <c r="AG669" s="129"/>
    </row>
    <row r="670" spans="1:33" ht="14.25" customHeight="1">
      <c r="A670" s="199"/>
      <c r="B670" s="128" t="s">
        <v>1175</v>
      </c>
      <c r="C670" s="193">
        <f t="shared" si="2"/>
        <v>36.08</v>
      </c>
      <c r="D670" s="128" t="s">
        <v>117</v>
      </c>
      <c r="E670" s="193"/>
      <c r="G670" s="193"/>
      <c r="I670" s="129"/>
      <c r="J670" s="187"/>
      <c r="K670" s="129"/>
      <c r="L670" s="129"/>
      <c r="M670" s="129"/>
      <c r="N670" s="129"/>
      <c r="O670" s="358"/>
      <c r="P670" s="347"/>
      <c r="Q670" s="129"/>
      <c r="R670" s="129"/>
      <c r="S670" s="129"/>
      <c r="T670" s="129"/>
      <c r="U670" s="129"/>
      <c r="V670" s="129"/>
      <c r="W670" s="129"/>
      <c r="X670" s="129"/>
      <c r="Y670" s="129"/>
      <c r="Z670" s="129"/>
      <c r="AA670" s="129"/>
      <c r="AB670" s="129"/>
      <c r="AC670" s="129"/>
      <c r="AD670" s="129"/>
      <c r="AE670" s="129"/>
      <c r="AF670" s="129"/>
      <c r="AG670" s="129"/>
    </row>
    <row r="671" spans="1:33" ht="14.25">
      <c r="A671" s="199"/>
      <c r="B671" s="128" t="s">
        <v>1176</v>
      </c>
      <c r="C671" s="193">
        <f t="shared" si="2"/>
        <v>35.83</v>
      </c>
      <c r="D671" s="128" t="s">
        <v>117</v>
      </c>
      <c r="E671" s="193"/>
      <c r="G671" s="193"/>
      <c r="I671" s="129"/>
      <c r="J671" s="187"/>
      <c r="K671" s="129"/>
      <c r="L671" s="129"/>
      <c r="M671" s="129"/>
      <c r="N671" s="129"/>
      <c r="O671" s="358"/>
      <c r="P671" s="347"/>
      <c r="Q671" s="129"/>
      <c r="R671" s="129"/>
      <c r="S671" s="129"/>
      <c r="T671" s="129"/>
      <c r="U671" s="129"/>
      <c r="V671" s="129"/>
      <c r="W671" s="129"/>
      <c r="X671" s="129"/>
      <c r="Y671" s="129"/>
      <c r="Z671" s="129"/>
      <c r="AA671" s="129"/>
      <c r="AB671" s="129"/>
      <c r="AC671" s="129"/>
      <c r="AD671" s="129"/>
      <c r="AE671" s="129"/>
      <c r="AF671" s="129"/>
      <c r="AG671" s="129"/>
    </row>
    <row r="672" spans="1:33" ht="14.25" customHeight="1">
      <c r="A672" s="199"/>
      <c r="B672" s="128" t="s">
        <v>460</v>
      </c>
      <c r="C672" s="193">
        <f t="shared" si="2"/>
        <v>26.98</v>
      </c>
      <c r="D672" s="128" t="s">
        <v>117</v>
      </c>
      <c r="E672" s="193"/>
      <c r="G672" s="193"/>
      <c r="I672" s="129"/>
      <c r="J672" s="187"/>
      <c r="K672" s="129"/>
      <c r="L672" s="129"/>
      <c r="M672" s="129"/>
      <c r="N672" s="129"/>
      <c r="O672" s="358"/>
      <c r="P672" s="347"/>
      <c r="Q672" s="129"/>
      <c r="R672" s="129"/>
      <c r="S672" s="129"/>
      <c r="T672" s="129"/>
      <c r="U672" s="129"/>
      <c r="V672" s="129"/>
      <c r="W672" s="129"/>
      <c r="X672" s="129"/>
      <c r="Y672" s="129"/>
      <c r="Z672" s="129"/>
      <c r="AA672" s="129"/>
      <c r="AB672" s="129"/>
      <c r="AC672" s="129"/>
      <c r="AD672" s="129"/>
      <c r="AE672" s="129"/>
      <c r="AF672" s="129"/>
      <c r="AG672" s="129"/>
    </row>
    <row r="673" spans="1:33" ht="14.25" customHeight="1">
      <c r="A673" s="199"/>
      <c r="C673" s="197"/>
      <c r="E673" s="193"/>
      <c r="G673" s="193"/>
      <c r="I673" s="129"/>
      <c r="J673" s="187"/>
      <c r="K673" s="129"/>
      <c r="L673" s="129"/>
      <c r="M673" s="129"/>
      <c r="N673" s="129"/>
      <c r="O673" s="358"/>
      <c r="P673" s="347"/>
      <c r="Q673" s="129"/>
      <c r="R673" s="129"/>
      <c r="S673" s="129"/>
      <c r="T673" s="129"/>
      <c r="U673" s="129"/>
      <c r="V673" s="129"/>
      <c r="W673" s="129"/>
      <c r="X673" s="129"/>
      <c r="Y673" s="129"/>
      <c r="Z673" s="129"/>
      <c r="AA673" s="129"/>
      <c r="AB673" s="129"/>
      <c r="AC673" s="129"/>
      <c r="AD673" s="129"/>
      <c r="AE673" s="129"/>
      <c r="AF673" s="129"/>
      <c r="AG673" s="129"/>
    </row>
    <row r="674" spans="1:33" s="191" customFormat="1" ht="14.25" customHeight="1">
      <c r="A674" s="260"/>
      <c r="B674" s="191" t="s">
        <v>92</v>
      </c>
      <c r="C674" s="274">
        <f>SUM(C666:C672)</f>
        <v>242.35999999999999</v>
      </c>
      <c r="D674" s="191" t="s">
        <v>42</v>
      </c>
      <c r="E674" s="192"/>
      <c r="G674" s="192"/>
      <c r="I674" s="261"/>
      <c r="J674" s="200"/>
      <c r="K674" s="261"/>
      <c r="L674" s="261"/>
      <c r="M674" s="261"/>
      <c r="N674" s="261"/>
      <c r="O674" s="370"/>
      <c r="P674" s="371"/>
      <c r="Q674" s="261"/>
      <c r="R674" s="261"/>
      <c r="S674" s="261"/>
      <c r="T674" s="261"/>
      <c r="U674" s="261"/>
      <c r="V674" s="261"/>
      <c r="W674" s="261"/>
      <c r="X674" s="261"/>
      <c r="Y674" s="261"/>
      <c r="Z674" s="261"/>
      <c r="AA674" s="261"/>
      <c r="AB674" s="261"/>
      <c r="AC674" s="261"/>
      <c r="AD674" s="261"/>
      <c r="AE674" s="261"/>
      <c r="AF674" s="261"/>
      <c r="AG674" s="261"/>
    </row>
    <row r="675" spans="1:33" ht="14.25" customHeight="1">
      <c r="A675" s="199"/>
      <c r="C675" s="197"/>
      <c r="E675" s="193"/>
      <c r="G675" s="193"/>
      <c r="I675" s="129"/>
      <c r="J675" s="187"/>
      <c r="K675" s="129"/>
      <c r="L675" s="129"/>
      <c r="M675" s="129"/>
      <c r="N675" s="129"/>
      <c r="O675" s="358"/>
      <c r="P675" s="347"/>
      <c r="Q675" s="129"/>
      <c r="R675" s="129"/>
      <c r="S675" s="129"/>
      <c r="T675" s="129"/>
      <c r="U675" s="129"/>
      <c r="V675" s="129"/>
      <c r="W675" s="129"/>
      <c r="X675" s="129"/>
      <c r="Y675" s="129"/>
      <c r="Z675" s="129"/>
      <c r="AA675" s="129"/>
      <c r="AB675" s="129"/>
      <c r="AC675" s="129"/>
      <c r="AD675" s="129"/>
      <c r="AE675" s="129"/>
      <c r="AF675" s="129"/>
      <c r="AG675" s="129"/>
    </row>
    <row r="676" spans="1:33" ht="14.25" customHeight="1">
      <c r="A676" s="245" t="s">
        <v>399</v>
      </c>
      <c r="B676" s="544" t="s">
        <v>457</v>
      </c>
      <c r="C676" s="550"/>
      <c r="D676" s="550"/>
      <c r="E676" s="550"/>
      <c r="F676" s="550"/>
      <c r="G676" s="550"/>
      <c r="H676" s="550"/>
      <c r="I676" s="550"/>
      <c r="J676" s="550"/>
      <c r="K676" s="550"/>
      <c r="L676" s="550"/>
      <c r="M676" s="550"/>
      <c r="N676" s="550"/>
      <c r="O676" s="252" t="s">
        <v>1014</v>
      </c>
      <c r="P676" s="347" t="s">
        <v>74</v>
      </c>
      <c r="Q676" s="129"/>
    </row>
    <row r="677" spans="1:33" ht="14.25" customHeight="1">
      <c r="A677" s="190"/>
      <c r="C677" s="193"/>
      <c r="E677" s="193"/>
      <c r="G677" s="193"/>
      <c r="O677" s="339"/>
      <c r="P677" s="347"/>
      <c r="Q677" s="129"/>
    </row>
    <row r="678" spans="1:33" ht="14.25" customHeight="1">
      <c r="A678" s="190"/>
      <c r="C678" s="193" t="s">
        <v>75</v>
      </c>
      <c r="E678" s="193"/>
      <c r="G678" s="193"/>
      <c r="O678" s="339"/>
      <c r="P678" s="347"/>
      <c r="Q678" s="129"/>
      <c r="R678" s="129"/>
      <c r="S678" s="129"/>
      <c r="T678" s="129"/>
      <c r="U678" s="129"/>
      <c r="V678" s="129"/>
      <c r="W678" s="129"/>
      <c r="X678" s="129"/>
      <c r="Y678" s="129"/>
      <c r="Z678" s="129"/>
      <c r="AA678" s="129"/>
      <c r="AB678" s="129"/>
      <c r="AC678" s="129"/>
      <c r="AD678" s="129"/>
      <c r="AE678" s="129"/>
      <c r="AF678" s="129"/>
      <c r="AG678" s="129"/>
    </row>
    <row r="679" spans="1:33" ht="14.25" customHeight="1">
      <c r="A679" s="199"/>
      <c r="B679" s="191" t="s">
        <v>92</v>
      </c>
      <c r="C679" s="274">
        <v>424.82</v>
      </c>
      <c r="D679" s="191" t="s">
        <v>50</v>
      </c>
      <c r="E679" s="193"/>
      <c r="G679" s="193"/>
      <c r="I679" s="129"/>
      <c r="J679" s="187"/>
      <c r="K679" s="129"/>
      <c r="L679" s="129"/>
      <c r="M679" s="129"/>
      <c r="N679" s="129"/>
      <c r="O679" s="358"/>
      <c r="P679" s="347"/>
      <c r="Q679" s="129"/>
      <c r="R679" s="129"/>
      <c r="S679" s="129"/>
      <c r="T679" s="129"/>
      <c r="U679" s="129"/>
      <c r="V679" s="129"/>
      <c r="W679" s="129"/>
      <c r="X679" s="129"/>
      <c r="Y679" s="129"/>
      <c r="Z679" s="129"/>
      <c r="AA679" s="129"/>
      <c r="AB679" s="129"/>
      <c r="AC679" s="129"/>
      <c r="AD679" s="129"/>
      <c r="AE679" s="129"/>
      <c r="AF679" s="129"/>
      <c r="AG679" s="129"/>
    </row>
    <row r="680" spans="1:33" ht="15.75" customHeight="1">
      <c r="A680" s="190"/>
      <c r="B680" s="129"/>
      <c r="C680" s="129"/>
      <c r="D680" s="129"/>
      <c r="E680" s="193"/>
      <c r="G680" s="193"/>
      <c r="O680" s="339"/>
      <c r="P680" s="347"/>
    </row>
    <row r="681" spans="1:33">
      <c r="A681" s="245" t="s">
        <v>400</v>
      </c>
      <c r="B681" s="544" t="s">
        <v>164</v>
      </c>
      <c r="C681" s="550"/>
      <c r="D681" s="550"/>
      <c r="E681" s="550"/>
      <c r="F681" s="550"/>
      <c r="G681" s="550"/>
      <c r="H681" s="550"/>
      <c r="I681" s="550"/>
      <c r="J681" s="550"/>
      <c r="K681" s="550"/>
      <c r="L681" s="550"/>
      <c r="M681" s="550"/>
      <c r="N681" s="550"/>
      <c r="O681" s="252">
        <v>100323</v>
      </c>
      <c r="P681" s="350"/>
    </row>
    <row r="682" spans="1:33" ht="14.25" customHeight="1">
      <c r="A682" s="190"/>
      <c r="C682" s="193"/>
      <c r="E682" s="193"/>
      <c r="G682" s="193"/>
      <c r="O682" s="339"/>
    </row>
    <row r="683" spans="1:33" ht="14.25" customHeight="1">
      <c r="A683" s="190"/>
      <c r="B683" s="191"/>
      <c r="C683" s="193" t="s">
        <v>77</v>
      </c>
      <c r="E683" s="193" t="s">
        <v>96</v>
      </c>
      <c r="G683" s="193" t="s">
        <v>91</v>
      </c>
      <c r="O683" s="339"/>
    </row>
    <row r="684" spans="1:33" ht="14.25" customHeight="1">
      <c r="A684" s="190"/>
      <c r="B684" s="128" t="s">
        <v>297</v>
      </c>
      <c r="C684" s="193">
        <v>122.43</v>
      </c>
      <c r="D684" s="128" t="s">
        <v>103</v>
      </c>
      <c r="E684" s="193">
        <v>0.1</v>
      </c>
      <c r="F684" s="128" t="s">
        <v>79</v>
      </c>
      <c r="G684" s="193">
        <f t="shared" ref="G684" si="3">C684*E684</f>
        <v>12.243000000000002</v>
      </c>
      <c r="H684" s="128" t="s">
        <v>44</v>
      </c>
      <c r="O684" s="339"/>
    </row>
    <row r="685" spans="1:33" ht="14.25" customHeight="1">
      <c r="A685" s="190"/>
      <c r="C685" s="193"/>
      <c r="E685" s="193"/>
      <c r="G685" s="193"/>
      <c r="O685" s="339"/>
    </row>
    <row r="686" spans="1:33" ht="14.25" customHeight="1">
      <c r="A686" s="190"/>
      <c r="B686" s="191" t="s">
        <v>92</v>
      </c>
      <c r="C686" s="274">
        <f>SUM(G684:G684)</f>
        <v>12.243000000000002</v>
      </c>
      <c r="D686" s="191" t="s">
        <v>44</v>
      </c>
      <c r="E686" s="193"/>
      <c r="G686" s="193"/>
      <c r="O686" s="339"/>
    </row>
    <row r="687" spans="1:33" ht="14.25" customHeight="1">
      <c r="A687" s="190"/>
      <c r="C687" s="193"/>
      <c r="E687" s="193"/>
      <c r="G687" s="193"/>
      <c r="O687" s="339"/>
      <c r="Q687" s="129"/>
    </row>
    <row r="688" spans="1:33" ht="14.25" customHeight="1">
      <c r="A688" s="245" t="s">
        <v>401</v>
      </c>
      <c r="B688" s="544" t="s">
        <v>934</v>
      </c>
      <c r="C688" s="544"/>
      <c r="D688" s="544"/>
      <c r="E688" s="544"/>
      <c r="F688" s="544"/>
      <c r="G688" s="544"/>
      <c r="H688" s="544"/>
      <c r="I688" s="544"/>
      <c r="J688" s="544"/>
      <c r="K688" s="544"/>
      <c r="L688" s="544"/>
      <c r="M688" s="544"/>
      <c r="N688" s="544"/>
      <c r="O688" s="252">
        <v>101094</v>
      </c>
      <c r="P688" s="350"/>
    </row>
    <row r="689" spans="1:16" ht="14.25" customHeight="1">
      <c r="A689" s="190"/>
      <c r="C689" s="193"/>
      <c r="E689" s="193"/>
      <c r="G689" s="193"/>
      <c r="O689" s="339"/>
    </row>
    <row r="690" spans="1:16" ht="14.25" customHeight="1">
      <c r="A690" s="190"/>
      <c r="C690" s="193" t="s">
        <v>87</v>
      </c>
      <c r="E690" s="193" t="s">
        <v>75</v>
      </c>
      <c r="G690" s="193" t="s">
        <v>75</v>
      </c>
      <c r="O690" s="339"/>
    </row>
    <row r="691" spans="1:16" ht="14.25" customHeight="1">
      <c r="A691" s="190"/>
      <c r="B691" s="128" t="s">
        <v>159</v>
      </c>
      <c r="C691" s="197">
        <v>610</v>
      </c>
      <c r="D691" s="128" t="s">
        <v>160</v>
      </c>
      <c r="E691" s="193">
        <v>0.25</v>
      </c>
      <c r="F691" s="128" t="s">
        <v>79</v>
      </c>
      <c r="G691" s="193">
        <f>C691*E691</f>
        <v>152.5</v>
      </c>
      <c r="H691" s="128" t="s">
        <v>50</v>
      </c>
      <c r="O691" s="339"/>
    </row>
    <row r="692" spans="1:16" ht="14.25" customHeight="1">
      <c r="A692" s="190"/>
      <c r="B692" s="128" t="s">
        <v>161</v>
      </c>
      <c r="C692" s="197">
        <v>275</v>
      </c>
      <c r="D692" s="128" t="s">
        <v>160</v>
      </c>
      <c r="E692" s="193">
        <v>0.25</v>
      </c>
      <c r="F692" s="128" t="s">
        <v>79</v>
      </c>
      <c r="G692" s="193">
        <f>C692*E692</f>
        <v>68.75</v>
      </c>
      <c r="H692" s="128" t="s">
        <v>50</v>
      </c>
      <c r="K692" s="191"/>
      <c r="O692" s="339"/>
    </row>
    <row r="693" spans="1:16" ht="14.25" customHeight="1">
      <c r="A693" s="190"/>
      <c r="C693" s="193"/>
      <c r="E693" s="193"/>
      <c r="G693" s="193"/>
      <c r="O693" s="339"/>
    </row>
    <row r="694" spans="1:16" ht="14.25" customHeight="1">
      <c r="A694" s="190"/>
      <c r="B694" s="191" t="s">
        <v>92</v>
      </c>
      <c r="C694" s="192">
        <f>SUM(G691:G692)</f>
        <v>221.25</v>
      </c>
      <c r="D694" s="191" t="s">
        <v>50</v>
      </c>
      <c r="G694" s="193"/>
      <c r="O694" s="339"/>
    </row>
    <row r="695" spans="1:16" ht="15.75" customHeight="1">
      <c r="A695" s="190"/>
      <c r="C695" s="193"/>
      <c r="E695" s="193"/>
      <c r="G695" s="193"/>
      <c r="O695" s="339"/>
    </row>
    <row r="696" spans="1:16">
      <c r="A696" s="245" t="s">
        <v>402</v>
      </c>
      <c r="B696" s="544" t="s">
        <v>393</v>
      </c>
      <c r="C696" s="550"/>
      <c r="D696" s="550"/>
      <c r="E696" s="550"/>
      <c r="F696" s="550"/>
      <c r="G696" s="550"/>
      <c r="H696" s="550"/>
      <c r="I696" s="550"/>
      <c r="J696" s="550"/>
      <c r="K696" s="550"/>
      <c r="L696" s="550"/>
      <c r="M696" s="550"/>
      <c r="N696" s="550"/>
      <c r="O696" s="252">
        <v>94319</v>
      </c>
      <c r="P696" s="350"/>
    </row>
    <row r="697" spans="1:16" ht="14.25" customHeight="1">
      <c r="A697" s="190"/>
      <c r="C697" s="193"/>
      <c r="E697" s="193"/>
      <c r="G697" s="193"/>
      <c r="O697" s="339"/>
    </row>
    <row r="698" spans="1:16" ht="14.25" customHeight="1">
      <c r="A698" s="190"/>
      <c r="B698" s="191" t="s">
        <v>463</v>
      </c>
      <c r="C698" s="128" t="s">
        <v>77</v>
      </c>
      <c r="E698" s="193" t="s">
        <v>76</v>
      </c>
      <c r="G698" s="129" t="s">
        <v>87</v>
      </c>
      <c r="H698" s="129"/>
      <c r="I698" s="129" t="s">
        <v>91</v>
      </c>
      <c r="J698" s="129"/>
      <c r="M698" s="272"/>
      <c r="P698" s="347"/>
    </row>
    <row r="699" spans="1:16" ht="14.25" customHeight="1">
      <c r="A699" s="190"/>
      <c r="B699" s="128" t="s">
        <v>1185</v>
      </c>
      <c r="C699" s="193">
        <v>1.619</v>
      </c>
      <c r="D699" s="128" t="s">
        <v>103</v>
      </c>
      <c r="E699" s="193">
        <v>0.31</v>
      </c>
      <c r="F699" s="128" t="s">
        <v>78</v>
      </c>
      <c r="G699" s="193">
        <v>3</v>
      </c>
      <c r="H699" s="128" t="s">
        <v>95</v>
      </c>
      <c r="I699" s="193">
        <f>C699*E699*G699</f>
        <v>1.5056699999999998</v>
      </c>
      <c r="J699" s="128" t="s">
        <v>44</v>
      </c>
      <c r="M699" s="272"/>
    </row>
    <row r="700" spans="1:16" ht="14.25" customHeight="1">
      <c r="A700" s="190"/>
      <c r="C700" s="193"/>
      <c r="E700" s="193"/>
      <c r="G700" s="193"/>
      <c r="I700" s="193"/>
      <c r="O700" s="339"/>
    </row>
    <row r="701" spans="1:16" ht="14.25" customHeight="1">
      <c r="A701" s="201"/>
      <c r="B701" s="191" t="s">
        <v>92</v>
      </c>
      <c r="C701" s="192">
        <f>SUM(I699:I699)</f>
        <v>1.5056699999999998</v>
      </c>
      <c r="D701" s="191" t="s">
        <v>44</v>
      </c>
      <c r="E701" s="193"/>
      <c r="G701" s="193"/>
      <c r="I701" s="193"/>
      <c r="O701" s="339"/>
    </row>
    <row r="702" spans="1:16">
      <c r="A702" s="201"/>
      <c r="B702" s="191"/>
      <c r="C702" s="192"/>
      <c r="D702" s="191"/>
      <c r="E702" s="193"/>
      <c r="G702" s="193"/>
      <c r="I702" s="193"/>
      <c r="O702" s="339"/>
    </row>
    <row r="703" spans="1:16">
      <c r="A703" s="245" t="s">
        <v>403</v>
      </c>
      <c r="B703" s="544" t="s">
        <v>298</v>
      </c>
      <c r="C703" s="550"/>
      <c r="D703" s="550"/>
      <c r="E703" s="550"/>
      <c r="F703" s="550"/>
      <c r="G703" s="550"/>
      <c r="H703" s="550"/>
      <c r="I703" s="550"/>
      <c r="J703" s="550"/>
      <c r="K703" s="550"/>
      <c r="L703" s="550"/>
      <c r="M703" s="550"/>
      <c r="N703" s="550"/>
      <c r="O703" s="252">
        <v>95240</v>
      </c>
      <c r="P703" s="350"/>
    </row>
    <row r="704" spans="1:16" ht="14.25" customHeight="1">
      <c r="A704" s="190"/>
      <c r="C704" s="193"/>
      <c r="E704" s="193"/>
      <c r="G704" s="193"/>
      <c r="O704" s="339"/>
    </row>
    <row r="705" spans="1:33" ht="14.25" customHeight="1">
      <c r="A705" s="190"/>
      <c r="B705" s="191" t="s">
        <v>463</v>
      </c>
      <c r="C705" s="128" t="s">
        <v>77</v>
      </c>
      <c r="E705" s="129" t="s">
        <v>87</v>
      </c>
      <c r="F705" s="129"/>
      <c r="G705" s="129" t="s">
        <v>77</v>
      </c>
      <c r="H705" s="129"/>
      <c r="M705" s="272"/>
      <c r="P705" s="347"/>
    </row>
    <row r="706" spans="1:33" ht="14.25" customHeight="1">
      <c r="A706" s="190"/>
      <c r="B706" s="128" t="s">
        <v>1185</v>
      </c>
      <c r="C706" s="193">
        <f>C699</f>
        <v>1.619</v>
      </c>
      <c r="D706" s="128" t="s">
        <v>103</v>
      </c>
      <c r="E706" s="193">
        <f>G699</f>
        <v>3</v>
      </c>
      <c r="F706" s="128" t="s">
        <v>95</v>
      </c>
      <c r="G706" s="193">
        <f>C706*E706</f>
        <v>4.8570000000000002</v>
      </c>
      <c r="H706" s="128" t="s">
        <v>42</v>
      </c>
      <c r="M706" s="272"/>
    </row>
    <row r="707" spans="1:33" ht="14.25" customHeight="1">
      <c r="A707" s="190"/>
      <c r="C707" s="193"/>
      <c r="E707" s="193"/>
      <c r="G707" s="193"/>
      <c r="O707" s="339"/>
    </row>
    <row r="708" spans="1:33" ht="14.25" customHeight="1">
      <c r="A708" s="201"/>
      <c r="B708" s="191" t="s">
        <v>92</v>
      </c>
      <c r="C708" s="192">
        <f>SUM(G706:G706)</f>
        <v>4.8570000000000002</v>
      </c>
      <c r="D708" s="191" t="s">
        <v>44</v>
      </c>
      <c r="E708" s="193"/>
      <c r="G708" s="193"/>
      <c r="I708" s="193"/>
      <c r="O708" s="339"/>
    </row>
    <row r="709" spans="1:33">
      <c r="A709" s="201"/>
      <c r="B709" s="191"/>
      <c r="C709" s="192"/>
      <c r="D709" s="191"/>
      <c r="E709" s="193"/>
      <c r="G709" s="193"/>
      <c r="I709" s="193"/>
      <c r="O709" s="339"/>
    </row>
    <row r="710" spans="1:33" ht="14.25" customHeight="1">
      <c r="A710" s="245" t="s">
        <v>404</v>
      </c>
      <c r="B710" s="559" t="s">
        <v>162</v>
      </c>
      <c r="C710" s="550"/>
      <c r="D710" s="550"/>
      <c r="E710" s="550"/>
      <c r="F710" s="550"/>
      <c r="G710" s="550"/>
      <c r="H710" s="550"/>
      <c r="I710" s="550"/>
      <c r="J710" s="550"/>
      <c r="K710" s="550"/>
      <c r="L710" s="550"/>
      <c r="M710" s="550"/>
      <c r="N710" s="550"/>
      <c r="O710" s="252">
        <v>98689</v>
      </c>
      <c r="P710" s="350"/>
    </row>
    <row r="711" spans="1:33" ht="14.25" customHeight="1">
      <c r="A711" s="190"/>
      <c r="C711" s="193"/>
      <c r="E711" s="193"/>
      <c r="G711" s="193"/>
      <c r="O711" s="339"/>
    </row>
    <row r="712" spans="1:33" ht="14.25" customHeight="1">
      <c r="A712" s="190"/>
      <c r="C712" s="193" t="s">
        <v>75</v>
      </c>
      <c r="E712" s="193"/>
      <c r="G712" s="193"/>
      <c r="O712" s="339"/>
      <c r="Q712" s="129"/>
      <c r="R712" s="129"/>
      <c r="S712" s="129"/>
      <c r="T712" s="129"/>
      <c r="U712" s="129"/>
      <c r="V712" s="129"/>
      <c r="W712" s="129"/>
      <c r="X712" s="129"/>
      <c r="Y712" s="129"/>
      <c r="Z712" s="129"/>
      <c r="AA712" s="129"/>
      <c r="AB712" s="129"/>
      <c r="AC712" s="129"/>
      <c r="AD712" s="129"/>
      <c r="AE712" s="129"/>
      <c r="AF712" s="129"/>
      <c r="AG712" s="129"/>
    </row>
    <row r="713" spans="1:33" ht="14.25" customHeight="1">
      <c r="A713" s="199"/>
      <c r="B713" s="128" t="s">
        <v>141</v>
      </c>
      <c r="C713" s="193">
        <f>C809*0.9</f>
        <v>5.4</v>
      </c>
      <c r="D713" s="128" t="s">
        <v>50</v>
      </c>
      <c r="G713" s="193"/>
      <c r="I713" s="129"/>
      <c r="J713" s="187"/>
      <c r="K713" s="129"/>
      <c r="L713" s="129"/>
      <c r="M713" s="129"/>
      <c r="N713" s="129"/>
      <c r="O713" s="358"/>
      <c r="P713" s="347"/>
      <c r="Q713" s="129"/>
      <c r="R713" s="129"/>
      <c r="S713" s="129"/>
      <c r="T713" s="129"/>
      <c r="U713" s="129"/>
      <c r="V713" s="129"/>
      <c r="W713" s="129"/>
      <c r="X713" s="129"/>
      <c r="Y713" s="129"/>
      <c r="Z713" s="129"/>
      <c r="AA713" s="129"/>
      <c r="AB713" s="129"/>
      <c r="AC713" s="129"/>
      <c r="AD713" s="129"/>
      <c r="AE713" s="129"/>
      <c r="AF713" s="129"/>
      <c r="AG713" s="129"/>
    </row>
    <row r="714" spans="1:33" ht="14.25" customHeight="1">
      <c r="A714" s="199"/>
      <c r="B714" s="128" t="s">
        <v>139</v>
      </c>
      <c r="C714" s="193">
        <f>C816*0.9</f>
        <v>4.5</v>
      </c>
      <c r="D714" s="128" t="s">
        <v>50</v>
      </c>
      <c r="G714" s="193"/>
      <c r="I714" s="129"/>
      <c r="J714" s="187"/>
      <c r="K714" s="129"/>
      <c r="L714" s="129"/>
      <c r="M714" s="129"/>
      <c r="N714" s="129"/>
      <c r="O714" s="358"/>
      <c r="P714" s="347"/>
      <c r="Q714" s="129"/>
      <c r="R714" s="129"/>
      <c r="S714" s="129"/>
      <c r="T714" s="129"/>
      <c r="U714" s="129"/>
      <c r="V714" s="129"/>
      <c r="W714" s="129"/>
      <c r="X714" s="129"/>
      <c r="Y714" s="129"/>
      <c r="Z714" s="129"/>
      <c r="AA714" s="129"/>
      <c r="AB714" s="129"/>
      <c r="AC714" s="129"/>
      <c r="AD714" s="129"/>
      <c r="AE714" s="129"/>
      <c r="AF714" s="129"/>
      <c r="AG714" s="129"/>
    </row>
    <row r="715" spans="1:33" ht="14.25" customHeight="1">
      <c r="A715" s="199"/>
      <c r="B715" s="128" t="s">
        <v>138</v>
      </c>
      <c r="C715" s="193">
        <f>C824*0.8</f>
        <v>3.2</v>
      </c>
      <c r="D715" s="128" t="s">
        <v>50</v>
      </c>
      <c r="G715" s="193"/>
      <c r="I715" s="129"/>
      <c r="J715" s="187"/>
      <c r="K715" s="129"/>
      <c r="L715" s="129"/>
      <c r="M715" s="129"/>
      <c r="N715" s="129"/>
      <c r="O715" s="358"/>
      <c r="P715" s="347"/>
      <c r="Q715" s="129"/>
      <c r="R715" s="129"/>
      <c r="S715" s="129"/>
      <c r="T715" s="129"/>
      <c r="U715" s="129"/>
      <c r="V715" s="129"/>
      <c r="W715" s="129"/>
      <c r="X715" s="129"/>
      <c r="Y715" s="129"/>
      <c r="Z715" s="129"/>
      <c r="AA715" s="129"/>
      <c r="AB715" s="129"/>
      <c r="AC715" s="129"/>
      <c r="AD715" s="129"/>
      <c r="AE715" s="129"/>
      <c r="AF715" s="129"/>
      <c r="AG715" s="129"/>
    </row>
    <row r="716" spans="1:33" ht="14.25" customHeight="1">
      <c r="A716" s="199"/>
      <c r="B716" s="128" t="s">
        <v>134</v>
      </c>
      <c r="C716" s="193">
        <f>C832*0.7</f>
        <v>4.1999999999999993</v>
      </c>
      <c r="D716" s="128" t="s">
        <v>50</v>
      </c>
      <c r="G716" s="193"/>
      <c r="I716" s="129"/>
      <c r="J716" s="187"/>
      <c r="K716" s="129"/>
      <c r="L716" s="129"/>
      <c r="M716" s="129"/>
      <c r="N716" s="129"/>
      <c r="O716" s="358"/>
      <c r="P716" s="347"/>
      <c r="Q716" s="129"/>
      <c r="R716" s="129"/>
      <c r="S716" s="129"/>
      <c r="T716" s="129"/>
      <c r="U716" s="129"/>
      <c r="V716" s="129"/>
      <c r="W716" s="129"/>
      <c r="X716" s="129"/>
      <c r="Y716" s="129"/>
      <c r="Z716" s="129"/>
      <c r="AA716" s="129"/>
      <c r="AB716" s="129"/>
      <c r="AC716" s="129"/>
      <c r="AD716" s="129"/>
      <c r="AE716" s="129"/>
      <c r="AF716" s="129"/>
      <c r="AG716" s="129"/>
    </row>
    <row r="717" spans="1:33" ht="14.25" customHeight="1">
      <c r="A717" s="199"/>
      <c r="B717" s="128" t="s">
        <v>135</v>
      </c>
      <c r="C717" s="193">
        <f>C825*0.8</f>
        <v>0.8</v>
      </c>
      <c r="D717" s="128" t="s">
        <v>50</v>
      </c>
      <c r="G717" s="193"/>
      <c r="I717" s="129"/>
      <c r="J717" s="187"/>
      <c r="K717" s="129"/>
      <c r="L717" s="129"/>
      <c r="M717" s="129"/>
      <c r="N717" s="129"/>
      <c r="O717" s="358"/>
      <c r="P717" s="347"/>
      <c r="Q717" s="129"/>
      <c r="R717" s="129"/>
      <c r="S717" s="129"/>
      <c r="T717" s="129"/>
      <c r="U717" s="129"/>
      <c r="V717" s="129"/>
      <c r="W717" s="129"/>
      <c r="X717" s="129"/>
      <c r="Y717" s="129"/>
      <c r="Z717" s="129"/>
      <c r="AA717" s="129"/>
      <c r="AB717" s="129"/>
      <c r="AC717" s="129"/>
      <c r="AD717" s="129"/>
      <c r="AE717" s="129"/>
      <c r="AF717" s="129"/>
      <c r="AG717" s="129"/>
    </row>
    <row r="718" spans="1:33" ht="14.25" customHeight="1">
      <c r="A718" s="199"/>
      <c r="B718" s="128" t="s">
        <v>142</v>
      </c>
      <c r="C718" s="193">
        <f>C817*0.9</f>
        <v>3.6</v>
      </c>
      <c r="D718" s="128" t="s">
        <v>50</v>
      </c>
      <c r="G718" s="193"/>
      <c r="I718" s="129"/>
      <c r="J718" s="187"/>
      <c r="K718" s="129"/>
      <c r="L718" s="129"/>
      <c r="M718" s="129"/>
      <c r="N718" s="129"/>
      <c r="O718" s="358"/>
      <c r="P718" s="347"/>
      <c r="Q718" s="129"/>
      <c r="R718" s="129"/>
      <c r="S718" s="129"/>
      <c r="T718" s="129"/>
      <c r="U718" s="129"/>
      <c r="V718" s="129"/>
      <c r="W718" s="129"/>
      <c r="X718" s="129"/>
      <c r="Y718" s="129"/>
      <c r="Z718" s="129"/>
      <c r="AA718" s="129"/>
      <c r="AB718" s="129"/>
      <c r="AC718" s="129"/>
      <c r="AD718" s="129"/>
      <c r="AE718" s="129"/>
      <c r="AF718" s="129"/>
      <c r="AG718" s="129"/>
    </row>
    <row r="719" spans="1:33" ht="14.25" customHeight="1">
      <c r="A719" s="199"/>
      <c r="B719" s="128" t="s">
        <v>146</v>
      </c>
      <c r="C719" s="193">
        <f>C894*1.8</f>
        <v>1.8</v>
      </c>
      <c r="D719" s="128" t="s">
        <v>50</v>
      </c>
      <c r="G719" s="193"/>
      <c r="I719" s="129"/>
      <c r="J719" s="187"/>
      <c r="K719" s="129"/>
      <c r="L719" s="129"/>
      <c r="M719" s="129"/>
      <c r="N719" s="129"/>
      <c r="O719" s="358"/>
      <c r="P719" s="347"/>
      <c r="Q719" s="129"/>
      <c r="R719" s="129"/>
      <c r="S719" s="129"/>
      <c r="T719" s="129"/>
      <c r="U719" s="129"/>
      <c r="V719" s="129"/>
      <c r="W719" s="129"/>
      <c r="X719" s="129"/>
      <c r="Y719" s="129"/>
      <c r="Z719" s="129"/>
      <c r="AA719" s="129"/>
      <c r="AB719" s="129"/>
      <c r="AC719" s="129"/>
      <c r="AD719" s="129"/>
      <c r="AE719" s="129"/>
      <c r="AF719" s="129"/>
      <c r="AG719" s="129"/>
    </row>
    <row r="720" spans="1:33" ht="14.25" customHeight="1">
      <c r="A720" s="199"/>
      <c r="B720" s="128" t="s">
        <v>218</v>
      </c>
      <c r="C720" s="193">
        <f>1*G977</f>
        <v>1</v>
      </c>
      <c r="D720" s="128" t="s">
        <v>50</v>
      </c>
      <c r="G720" s="193"/>
      <c r="I720" s="129"/>
      <c r="J720" s="187"/>
      <c r="K720" s="129"/>
      <c r="L720" s="129"/>
      <c r="M720" s="129"/>
      <c r="N720" s="129"/>
      <c r="O720" s="358"/>
      <c r="P720" s="347"/>
      <c r="Q720" s="129"/>
      <c r="R720" s="129"/>
      <c r="S720" s="129"/>
      <c r="T720" s="129"/>
      <c r="U720" s="129"/>
      <c r="V720" s="129"/>
      <c r="W720" s="129"/>
      <c r="X720" s="129"/>
      <c r="Y720" s="129"/>
      <c r="Z720" s="129"/>
      <c r="AA720" s="129"/>
      <c r="AB720" s="129"/>
      <c r="AC720" s="129"/>
      <c r="AD720" s="129"/>
      <c r="AE720" s="129"/>
      <c r="AF720" s="129"/>
      <c r="AG720" s="129"/>
    </row>
    <row r="721" spans="1:33" ht="14.25" customHeight="1">
      <c r="A721" s="199"/>
      <c r="B721" s="128" t="s">
        <v>222</v>
      </c>
      <c r="C721" s="193">
        <f>0.8*G958</f>
        <v>1.6</v>
      </c>
      <c r="D721" s="128" t="s">
        <v>50</v>
      </c>
      <c r="G721" s="193"/>
      <c r="I721" s="129"/>
      <c r="J721" s="187"/>
      <c r="K721" s="129"/>
      <c r="L721" s="129"/>
      <c r="M721" s="129"/>
      <c r="N721" s="129"/>
      <c r="O721" s="358"/>
      <c r="P721" s="347"/>
      <c r="Q721" s="129"/>
      <c r="R721" s="129"/>
      <c r="S721" s="129"/>
      <c r="T721" s="129"/>
      <c r="U721" s="129"/>
      <c r="V721" s="129"/>
      <c r="W721" s="129"/>
      <c r="X721" s="129"/>
      <c r="Y721" s="129"/>
      <c r="Z721" s="129"/>
      <c r="AA721" s="129"/>
      <c r="AB721" s="129"/>
      <c r="AC721" s="129"/>
      <c r="AD721" s="129"/>
      <c r="AE721" s="129"/>
      <c r="AF721" s="129"/>
      <c r="AG721" s="129"/>
    </row>
    <row r="722" spans="1:33" ht="14.25" customHeight="1">
      <c r="A722" s="199"/>
      <c r="B722" s="128" t="s">
        <v>1145</v>
      </c>
      <c r="C722" s="193">
        <f>4.6*G984</f>
        <v>27.599999999999998</v>
      </c>
      <c r="D722" s="128" t="s">
        <v>50</v>
      </c>
      <c r="G722" s="193"/>
      <c r="I722" s="129"/>
      <c r="J722" s="187"/>
      <c r="K722" s="129"/>
      <c r="L722" s="129"/>
      <c r="M722" s="129"/>
      <c r="N722" s="129"/>
      <c r="O722" s="358"/>
      <c r="P722" s="347"/>
      <c r="Q722" s="129"/>
      <c r="R722" s="129"/>
      <c r="S722" s="129"/>
      <c r="T722" s="129"/>
      <c r="U722" s="129"/>
      <c r="V722" s="129"/>
      <c r="W722" s="129"/>
      <c r="X722" s="129"/>
      <c r="Y722" s="129"/>
      <c r="Z722" s="129"/>
      <c r="AA722" s="129"/>
      <c r="AB722" s="129"/>
      <c r="AC722" s="129"/>
      <c r="AD722" s="129"/>
      <c r="AE722" s="129"/>
      <c r="AF722" s="129"/>
      <c r="AG722" s="129"/>
    </row>
    <row r="723" spans="1:33" ht="14.25" customHeight="1">
      <c r="A723" s="199"/>
      <c r="C723" s="193"/>
      <c r="G723" s="193"/>
      <c r="I723" s="129"/>
      <c r="J723" s="187"/>
      <c r="K723" s="129"/>
      <c r="L723" s="129"/>
      <c r="M723" s="129"/>
      <c r="N723" s="129"/>
      <c r="O723" s="358"/>
      <c r="P723" s="347"/>
    </row>
    <row r="724" spans="1:33" ht="14.25" customHeight="1">
      <c r="A724" s="190"/>
      <c r="B724" s="191" t="s">
        <v>92</v>
      </c>
      <c r="C724" s="192">
        <f>SUM(C713:C722)</f>
        <v>53.7</v>
      </c>
      <c r="D724" s="191" t="s">
        <v>50</v>
      </c>
      <c r="E724" s="193"/>
      <c r="G724" s="193"/>
      <c r="O724" s="339"/>
    </row>
    <row r="725" spans="1:33" ht="14.25" customHeight="1">
      <c r="A725" s="190"/>
      <c r="B725" s="191"/>
      <c r="C725" s="192"/>
      <c r="D725" s="191"/>
      <c r="E725" s="193"/>
      <c r="G725" s="193"/>
      <c r="O725" s="339"/>
    </row>
    <row r="726" spans="1:33" ht="14.25" customHeight="1">
      <c r="A726" s="188" t="s">
        <v>143</v>
      </c>
      <c r="B726" s="551" t="s">
        <v>56</v>
      </c>
      <c r="C726" s="552"/>
      <c r="D726" s="552"/>
      <c r="E726" s="552"/>
      <c r="F726" s="552"/>
      <c r="G726" s="552"/>
      <c r="H726" s="552"/>
      <c r="I726" s="552"/>
      <c r="J726" s="552"/>
      <c r="K726" s="552"/>
      <c r="L726" s="552"/>
      <c r="M726" s="552"/>
      <c r="N726" s="552"/>
      <c r="O726" s="346"/>
      <c r="P726" s="347"/>
    </row>
    <row r="727" spans="1:33" ht="14.25">
      <c r="A727" s="190"/>
      <c r="C727" s="193"/>
      <c r="E727" s="193"/>
      <c r="G727" s="193"/>
      <c r="O727" s="339"/>
    </row>
    <row r="728" spans="1:33" ht="16.5" customHeight="1">
      <c r="A728" s="245" t="s">
        <v>405</v>
      </c>
      <c r="B728" s="553" t="s">
        <v>237</v>
      </c>
      <c r="C728" s="550"/>
      <c r="D728" s="550"/>
      <c r="E728" s="550"/>
      <c r="F728" s="550"/>
      <c r="G728" s="550"/>
      <c r="H728" s="550"/>
      <c r="I728" s="550"/>
      <c r="J728" s="550"/>
      <c r="K728" s="550"/>
      <c r="L728" s="550"/>
      <c r="M728" s="550"/>
      <c r="N728" s="550"/>
      <c r="O728" s="252">
        <v>94990</v>
      </c>
      <c r="P728" s="350"/>
    </row>
    <row r="729" spans="1:33" ht="14.25" customHeight="1">
      <c r="A729" s="194"/>
      <c r="B729" s="246"/>
      <c r="C729" s="246"/>
      <c r="D729" s="246"/>
      <c r="E729" s="246"/>
      <c r="F729" s="246"/>
      <c r="G729" s="246"/>
      <c r="H729" s="246"/>
      <c r="I729" s="246"/>
      <c r="J729" s="246"/>
      <c r="K729" s="246"/>
      <c r="L729" s="246"/>
      <c r="M729" s="246"/>
      <c r="N729" s="246"/>
      <c r="O729" s="252"/>
      <c r="P729" s="350"/>
    </row>
    <row r="730" spans="1:33" ht="14.25" customHeight="1">
      <c r="A730" s="190"/>
      <c r="C730" s="193" t="s">
        <v>77</v>
      </c>
      <c r="E730" s="193" t="s">
        <v>96</v>
      </c>
      <c r="G730" s="193" t="s">
        <v>91</v>
      </c>
      <c r="O730" s="339"/>
    </row>
    <row r="731" spans="1:33" s="175" customFormat="1" ht="14.25" customHeight="1">
      <c r="A731" s="190"/>
      <c r="B731" s="128" t="s">
        <v>390</v>
      </c>
      <c r="C731" s="193">
        <f>1254.1-2-3-5.86-8.41-957</f>
        <v>277.82999999999993</v>
      </c>
      <c r="D731" s="128" t="s">
        <v>103</v>
      </c>
      <c r="E731" s="248">
        <v>0.08</v>
      </c>
      <c r="F731" s="175" t="s">
        <v>79</v>
      </c>
      <c r="G731" s="193">
        <f>C731*E731</f>
        <v>22.226399999999995</v>
      </c>
      <c r="H731" s="128" t="s">
        <v>44</v>
      </c>
      <c r="I731" s="128"/>
      <c r="J731" s="128"/>
      <c r="K731" s="128"/>
      <c r="L731" s="128"/>
      <c r="M731" s="128"/>
      <c r="N731" s="128"/>
      <c r="O731" s="339"/>
      <c r="P731" s="189"/>
    </row>
    <row r="732" spans="1:33" ht="14.25" customHeight="1">
      <c r="A732" s="190"/>
      <c r="C732" s="193"/>
      <c r="E732" s="294"/>
      <c r="G732" s="193"/>
      <c r="O732" s="339"/>
    </row>
    <row r="733" spans="1:33" ht="14.25" customHeight="1">
      <c r="A733" s="190"/>
      <c r="B733" s="191" t="s">
        <v>92</v>
      </c>
      <c r="C733" s="274">
        <f>SUM(G731:G731)</f>
        <v>22.226399999999995</v>
      </c>
      <c r="D733" s="191" t="s">
        <v>44</v>
      </c>
      <c r="E733" s="193"/>
      <c r="G733" s="193"/>
      <c r="O733" s="339"/>
    </row>
    <row r="734" spans="1:33" ht="14.25" customHeight="1">
      <c r="A734" s="190"/>
      <c r="C734" s="193"/>
      <c r="E734" s="193"/>
      <c r="G734" s="193"/>
      <c r="O734" s="339"/>
    </row>
    <row r="735" spans="1:33">
      <c r="A735" s="245" t="s">
        <v>406</v>
      </c>
      <c r="B735" s="544" t="s">
        <v>935</v>
      </c>
      <c r="C735" s="550"/>
      <c r="D735" s="550"/>
      <c r="E735" s="550"/>
      <c r="F735" s="550"/>
      <c r="G735" s="550"/>
      <c r="H735" s="550"/>
      <c r="I735" s="550"/>
      <c r="J735" s="550"/>
      <c r="K735" s="550"/>
      <c r="L735" s="550"/>
      <c r="M735" s="550"/>
      <c r="N735" s="550"/>
      <c r="O735" s="252" t="s">
        <v>1015</v>
      </c>
      <c r="P735" s="350" t="s">
        <v>74</v>
      </c>
    </row>
    <row r="736" spans="1:33" ht="14.25" customHeight="1">
      <c r="A736" s="194"/>
      <c r="B736" s="246"/>
      <c r="C736" s="246"/>
      <c r="D736" s="246"/>
      <c r="E736" s="246"/>
      <c r="F736" s="246"/>
      <c r="G736" s="246"/>
      <c r="H736" s="246"/>
      <c r="I736" s="246"/>
      <c r="J736" s="246"/>
      <c r="K736" s="246"/>
      <c r="L736" s="246"/>
      <c r="M736" s="246"/>
      <c r="N736" s="246"/>
      <c r="O736" s="252"/>
      <c r="P736" s="350"/>
      <c r="Q736" s="129"/>
    </row>
    <row r="737" spans="1:17" ht="14.25" customHeight="1">
      <c r="A737" s="194"/>
      <c r="B737" s="591" t="s">
        <v>479</v>
      </c>
      <c r="C737" s="591"/>
      <c r="D737" s="591"/>
      <c r="E737" s="591"/>
      <c r="F737" s="591"/>
      <c r="G737" s="591"/>
      <c r="H737" s="591"/>
      <c r="I737" s="591"/>
      <c r="J737" s="591"/>
      <c r="K737" s="591"/>
      <c r="L737" s="591"/>
      <c r="M737" s="591"/>
      <c r="N737" s="591"/>
      <c r="O737" s="252"/>
      <c r="P737" s="350"/>
      <c r="Q737" s="129"/>
    </row>
    <row r="738" spans="1:17" ht="14.25" customHeight="1">
      <c r="A738" s="194"/>
      <c r="B738" s="246"/>
      <c r="C738" s="246"/>
      <c r="D738" s="246"/>
      <c r="E738" s="246"/>
      <c r="F738" s="246"/>
      <c r="G738" s="246"/>
      <c r="H738" s="246"/>
      <c r="I738" s="246"/>
      <c r="J738" s="246"/>
      <c r="K738" s="246"/>
      <c r="L738" s="246"/>
      <c r="M738" s="246"/>
      <c r="N738" s="246"/>
      <c r="O738" s="252"/>
      <c r="P738" s="350"/>
      <c r="Q738" s="129"/>
    </row>
    <row r="739" spans="1:17" ht="14.25" customHeight="1">
      <c r="A739" s="190"/>
      <c r="C739" s="193" t="s">
        <v>77</v>
      </c>
      <c r="E739" s="193" t="s">
        <v>480</v>
      </c>
      <c r="G739" s="193" t="s">
        <v>75</v>
      </c>
      <c r="O739" s="339"/>
    </row>
    <row r="740" spans="1:17" ht="14.25" customHeight="1">
      <c r="A740" s="190"/>
      <c r="B740" s="128" t="s">
        <v>478</v>
      </c>
      <c r="C740" s="193">
        <f>C731</f>
        <v>277.82999999999993</v>
      </c>
      <c r="D740" s="128" t="s">
        <v>103</v>
      </c>
      <c r="E740" s="193">
        <v>1.67</v>
      </c>
      <c r="F740" s="128" t="s">
        <v>481</v>
      </c>
      <c r="G740" s="193">
        <f>C740*E740</f>
        <v>463.97609999999986</v>
      </c>
      <c r="H740" s="128" t="s">
        <v>50</v>
      </c>
      <c r="O740" s="339"/>
    </row>
    <row r="741" spans="1:17" ht="14.25" customHeight="1">
      <c r="A741" s="190"/>
      <c r="C741" s="193"/>
      <c r="E741" s="193"/>
      <c r="G741" s="193"/>
      <c r="O741" s="339"/>
    </row>
    <row r="742" spans="1:17" ht="14.25" customHeight="1">
      <c r="A742" s="190"/>
      <c r="B742" s="191" t="s">
        <v>92</v>
      </c>
      <c r="C742" s="274">
        <f>G740</f>
        <v>463.97609999999986</v>
      </c>
      <c r="D742" s="191" t="s">
        <v>50</v>
      </c>
      <c r="E742" s="193"/>
      <c r="G742" s="193"/>
      <c r="O742" s="339"/>
    </row>
    <row r="743" spans="1:17" ht="14.25" customHeight="1">
      <c r="A743" s="190"/>
      <c r="E743" s="193"/>
      <c r="G743" s="193"/>
      <c r="H743" s="294"/>
      <c r="O743" s="339"/>
    </row>
    <row r="744" spans="1:17">
      <c r="A744" s="245" t="s">
        <v>407</v>
      </c>
      <c r="B744" s="544" t="s">
        <v>488</v>
      </c>
      <c r="C744" s="550"/>
      <c r="D744" s="550"/>
      <c r="E744" s="550"/>
      <c r="F744" s="550"/>
      <c r="G744" s="550"/>
      <c r="H744" s="550"/>
      <c r="I744" s="550"/>
      <c r="J744" s="550"/>
      <c r="K744" s="550"/>
      <c r="L744" s="550"/>
      <c r="M744" s="550"/>
      <c r="N744" s="550"/>
      <c r="O744" s="252" t="s">
        <v>1016</v>
      </c>
      <c r="P744" s="350" t="s">
        <v>74</v>
      </c>
    </row>
    <row r="745" spans="1:17" ht="14.25" customHeight="1">
      <c r="A745" s="194"/>
      <c r="B745" s="246"/>
      <c r="C745" s="246"/>
      <c r="D745" s="246"/>
      <c r="E745" s="246"/>
      <c r="F745" s="246"/>
      <c r="G745" s="246"/>
      <c r="H745" s="246"/>
      <c r="I745" s="246"/>
      <c r="J745" s="246"/>
      <c r="K745" s="246"/>
      <c r="L745" s="246"/>
      <c r="M745" s="246"/>
      <c r="N745" s="246"/>
      <c r="O745" s="252"/>
      <c r="P745" s="350"/>
      <c r="Q745" s="129"/>
    </row>
    <row r="746" spans="1:17" ht="14.25" customHeight="1">
      <c r="A746" s="190"/>
      <c r="C746" s="193" t="s">
        <v>77</v>
      </c>
      <c r="E746" s="193"/>
      <c r="G746" s="193"/>
      <c r="O746" s="339"/>
    </row>
    <row r="747" spans="1:17" ht="14.25" customHeight="1">
      <c r="A747" s="190"/>
      <c r="B747" s="128" t="s">
        <v>1186</v>
      </c>
      <c r="C747" s="193">
        <v>32.44</v>
      </c>
      <c r="D747" s="128" t="s">
        <v>117</v>
      </c>
      <c r="E747" s="193"/>
      <c r="G747" s="193"/>
      <c r="O747" s="339"/>
    </row>
    <row r="748" spans="1:17" ht="14.25" customHeight="1">
      <c r="A748" s="190"/>
      <c r="C748" s="193"/>
      <c r="E748" s="193"/>
      <c r="G748" s="193"/>
      <c r="O748" s="339"/>
    </row>
    <row r="749" spans="1:17" ht="14.25" customHeight="1">
      <c r="A749" s="190"/>
      <c r="B749" s="191" t="s">
        <v>92</v>
      </c>
      <c r="C749" s="274">
        <f>SUM(C747:C747)</f>
        <v>32.44</v>
      </c>
      <c r="D749" s="191" t="s">
        <v>42</v>
      </c>
      <c r="E749" s="193"/>
      <c r="G749" s="193"/>
      <c r="O749" s="339"/>
    </row>
    <row r="750" spans="1:17" ht="14.25" customHeight="1">
      <c r="A750" s="190"/>
      <c r="E750" s="193"/>
      <c r="G750" s="193"/>
      <c r="H750" s="294"/>
      <c r="O750" s="339"/>
    </row>
    <row r="751" spans="1:17" ht="31.5" customHeight="1">
      <c r="A751" s="245" t="s">
        <v>408</v>
      </c>
      <c r="B751" s="544" t="s">
        <v>370</v>
      </c>
      <c r="C751" s="550"/>
      <c r="D751" s="550"/>
      <c r="E751" s="550"/>
      <c r="F751" s="550"/>
      <c r="G751" s="550"/>
      <c r="H751" s="550"/>
      <c r="I751" s="550"/>
      <c r="J751" s="550"/>
      <c r="K751" s="550"/>
      <c r="L751" s="550"/>
      <c r="M751" s="550"/>
      <c r="N751" s="550"/>
      <c r="O751" s="252">
        <v>94275</v>
      </c>
      <c r="P751" s="350"/>
    </row>
    <row r="752" spans="1:17" ht="14.25" customHeight="1">
      <c r="A752" s="194"/>
      <c r="B752" s="246"/>
      <c r="C752" s="246"/>
      <c r="D752" s="246"/>
      <c r="E752" s="246"/>
      <c r="F752" s="246"/>
      <c r="G752" s="246"/>
      <c r="H752" s="246"/>
      <c r="I752" s="246"/>
      <c r="J752" s="246"/>
      <c r="K752" s="246"/>
      <c r="L752" s="246"/>
      <c r="M752" s="246"/>
      <c r="N752" s="246"/>
      <c r="O752" s="252"/>
      <c r="P752" s="350"/>
      <c r="Q752" s="129"/>
    </row>
    <row r="753" spans="1:33" ht="14.25" customHeight="1">
      <c r="A753" s="190"/>
      <c r="C753" s="193" t="s">
        <v>75</v>
      </c>
      <c r="E753" s="193"/>
      <c r="G753" s="193"/>
      <c r="O753" s="339"/>
    </row>
    <row r="754" spans="1:33" ht="14.25" customHeight="1">
      <c r="A754" s="190"/>
      <c r="B754" s="128" t="s">
        <v>478</v>
      </c>
      <c r="C754" s="193">
        <f>31.53+32.42+29.92+21.73+64.56+39.59+15.2</f>
        <v>234.95000000000002</v>
      </c>
      <c r="D754" s="128" t="s">
        <v>50</v>
      </c>
      <c r="E754" s="193"/>
      <c r="G754" s="193"/>
      <c r="O754" s="339"/>
    </row>
    <row r="755" spans="1:33" ht="14.25" customHeight="1">
      <c r="A755" s="190"/>
      <c r="C755" s="193"/>
      <c r="E755" s="193"/>
      <c r="G755" s="193"/>
      <c r="O755" s="339"/>
    </row>
    <row r="756" spans="1:33" ht="14.25" customHeight="1">
      <c r="A756" s="190"/>
      <c r="B756" s="191" t="s">
        <v>92</v>
      </c>
      <c r="C756" s="274">
        <f>SUM(C754:C754)</f>
        <v>234.95000000000002</v>
      </c>
      <c r="D756" s="191" t="s">
        <v>50</v>
      </c>
      <c r="E756" s="193"/>
      <c r="G756" s="193"/>
      <c r="O756" s="339"/>
    </row>
    <row r="757" spans="1:33" ht="14.25" customHeight="1">
      <c r="A757" s="190"/>
      <c r="E757" s="193"/>
      <c r="G757" s="193"/>
      <c r="H757" s="294"/>
      <c r="O757" s="339"/>
    </row>
    <row r="758" spans="1:33">
      <c r="A758" s="245" t="s">
        <v>482</v>
      </c>
      <c r="B758" s="544" t="s">
        <v>163</v>
      </c>
      <c r="C758" s="550"/>
      <c r="D758" s="550"/>
      <c r="E758" s="550"/>
      <c r="F758" s="550"/>
      <c r="G758" s="550"/>
      <c r="H758" s="550"/>
      <c r="I758" s="550"/>
      <c r="J758" s="550"/>
      <c r="K758" s="550"/>
      <c r="L758" s="550"/>
      <c r="M758" s="550"/>
      <c r="N758" s="550"/>
      <c r="O758" s="252">
        <v>92396</v>
      </c>
      <c r="P758" s="350"/>
    </row>
    <row r="759" spans="1:33" ht="14.25" customHeight="1">
      <c r="A759" s="190"/>
      <c r="C759" s="193"/>
      <c r="E759" s="193"/>
      <c r="G759" s="193"/>
      <c r="O759" s="339"/>
    </row>
    <row r="760" spans="1:33" ht="14.25" customHeight="1">
      <c r="A760" s="190"/>
      <c r="C760" s="193" t="s">
        <v>77</v>
      </c>
      <c r="E760" s="193"/>
      <c r="G760" s="193"/>
      <c r="O760" s="339"/>
    </row>
    <row r="761" spans="1:33" ht="14.25" customHeight="1">
      <c r="A761" s="190"/>
      <c r="B761" s="128" t="s">
        <v>1187</v>
      </c>
      <c r="C761" s="193">
        <v>105.98</v>
      </c>
      <c r="D761" s="128" t="s">
        <v>42</v>
      </c>
      <c r="E761" s="193"/>
      <c r="G761" s="193"/>
      <c r="O761" s="339"/>
    </row>
    <row r="762" spans="1:33" ht="14.25" customHeight="1">
      <c r="A762" s="190"/>
      <c r="B762" s="128" t="s">
        <v>392</v>
      </c>
      <c r="C762" s="193">
        <v>5.86</v>
      </c>
      <c r="D762" s="128" t="s">
        <v>42</v>
      </c>
      <c r="E762" s="193"/>
      <c r="G762" s="193"/>
      <c r="O762" s="339"/>
    </row>
    <row r="763" spans="1:33" ht="14.25" customHeight="1">
      <c r="A763" s="190"/>
      <c r="C763" s="193"/>
      <c r="E763" s="193"/>
      <c r="G763" s="193"/>
      <c r="O763" s="339"/>
    </row>
    <row r="764" spans="1:33" ht="14.25" customHeight="1">
      <c r="A764" s="190"/>
      <c r="B764" s="191" t="s">
        <v>92</v>
      </c>
      <c r="C764" s="274">
        <f>SUM(C761:C762)</f>
        <v>111.84</v>
      </c>
      <c r="D764" s="191" t="s">
        <v>42</v>
      </c>
      <c r="E764" s="193"/>
      <c r="G764" s="193"/>
      <c r="O764" s="339"/>
    </row>
    <row r="765" spans="1:33" ht="14.25" customHeight="1">
      <c r="A765" s="190"/>
      <c r="C765" s="193"/>
      <c r="E765" s="193"/>
      <c r="G765" s="193"/>
      <c r="O765" s="339"/>
    </row>
    <row r="766" spans="1:33" customFormat="1">
      <c r="A766" s="278" t="s">
        <v>483</v>
      </c>
      <c r="B766" s="560" t="s">
        <v>1188</v>
      </c>
      <c r="C766" s="547"/>
      <c r="D766" s="547"/>
      <c r="E766" s="547"/>
      <c r="F766" s="547"/>
      <c r="G766" s="547"/>
      <c r="H766" s="547"/>
      <c r="I766" s="547"/>
      <c r="J766" s="547"/>
      <c r="K766" s="547"/>
      <c r="L766" s="547"/>
      <c r="M766" s="547"/>
      <c r="N766" s="547"/>
      <c r="O766" s="363">
        <v>92397</v>
      </c>
      <c r="P766" s="364"/>
      <c r="Q766" s="25"/>
      <c r="R766" s="25"/>
      <c r="S766" s="25"/>
      <c r="T766" s="25"/>
      <c r="U766" s="25"/>
      <c r="V766" s="25"/>
      <c r="W766" s="25"/>
      <c r="X766" s="25"/>
      <c r="Y766" s="25"/>
      <c r="Z766" s="25"/>
      <c r="AA766" s="25"/>
      <c r="AB766" s="25"/>
      <c r="AC766" s="25"/>
      <c r="AD766" s="25"/>
      <c r="AE766" s="25"/>
      <c r="AF766" s="25"/>
      <c r="AG766" s="25"/>
    </row>
    <row r="767" spans="1:33" ht="14.25" customHeight="1">
      <c r="A767" s="190"/>
      <c r="C767" s="193"/>
      <c r="E767" s="193"/>
      <c r="G767" s="193"/>
      <c r="O767" s="339"/>
    </row>
    <row r="768" spans="1:33" ht="14.25" customHeight="1">
      <c r="A768" s="190"/>
      <c r="C768" s="193" t="s">
        <v>77</v>
      </c>
      <c r="E768" s="193"/>
      <c r="G768" s="193"/>
      <c r="O768" s="339"/>
    </row>
    <row r="769" spans="1:17" ht="14.25" customHeight="1">
      <c r="A769" s="190"/>
      <c r="B769" s="128" t="s">
        <v>468</v>
      </c>
      <c r="C769" s="193">
        <f>156.74+4.35+0.11*2</f>
        <v>161.31</v>
      </c>
      <c r="D769" s="128" t="s">
        <v>42</v>
      </c>
      <c r="E769" s="193"/>
      <c r="G769" s="193"/>
      <c r="O769" s="339"/>
    </row>
    <row r="770" spans="1:17" ht="14.25" customHeight="1">
      <c r="A770" s="190"/>
      <c r="B770" s="128" t="s">
        <v>126</v>
      </c>
      <c r="C770" s="193">
        <f>486.2-C761</f>
        <v>380.21999999999997</v>
      </c>
      <c r="D770" s="128" t="s">
        <v>42</v>
      </c>
      <c r="E770" s="193"/>
      <c r="G770" s="193"/>
      <c r="J770" s="193"/>
      <c r="O770" s="339"/>
    </row>
    <row r="771" spans="1:17" ht="14.25" customHeight="1">
      <c r="A771" s="190"/>
      <c r="C771" s="193"/>
      <c r="E771" s="193"/>
      <c r="G771" s="193"/>
      <c r="O771" s="339"/>
    </row>
    <row r="772" spans="1:17" ht="14.25" customHeight="1">
      <c r="A772" s="190"/>
      <c r="B772" s="191" t="s">
        <v>92</v>
      </c>
      <c r="C772" s="274">
        <f>SUM(C769:C770)</f>
        <v>541.53</v>
      </c>
      <c r="D772" s="191" t="s">
        <v>42</v>
      </c>
      <c r="E772" s="193"/>
      <c r="G772" s="193"/>
      <c r="O772" s="339"/>
    </row>
    <row r="773" spans="1:17" ht="14.25" customHeight="1">
      <c r="A773" s="190"/>
      <c r="C773" s="193"/>
      <c r="E773" s="193"/>
      <c r="G773" s="193"/>
      <c r="O773" s="339"/>
    </row>
    <row r="774" spans="1:17">
      <c r="A774" s="245" t="s">
        <v>409</v>
      </c>
      <c r="B774" s="544" t="s">
        <v>312</v>
      </c>
      <c r="C774" s="550"/>
      <c r="D774" s="550"/>
      <c r="E774" s="550"/>
      <c r="F774" s="550"/>
      <c r="G774" s="550"/>
      <c r="H774" s="550"/>
      <c r="I774" s="550"/>
      <c r="J774" s="550"/>
      <c r="K774" s="550"/>
      <c r="L774" s="550"/>
      <c r="M774" s="550"/>
      <c r="N774" s="550"/>
      <c r="O774" s="346">
        <v>97084</v>
      </c>
      <c r="P774" s="350"/>
    </row>
    <row r="775" spans="1:17" ht="15" customHeight="1">
      <c r="A775" s="194"/>
      <c r="B775" s="246"/>
      <c r="C775" s="246"/>
      <c r="D775" s="246"/>
      <c r="E775" s="246"/>
      <c r="F775" s="246"/>
      <c r="G775" s="246"/>
      <c r="H775" s="246"/>
      <c r="I775" s="246"/>
      <c r="J775" s="246"/>
      <c r="K775" s="246"/>
      <c r="L775" s="246"/>
      <c r="M775" s="246"/>
      <c r="N775" s="246"/>
      <c r="O775" s="346"/>
      <c r="P775" s="353"/>
      <c r="Q775" s="353"/>
    </row>
    <row r="776" spans="1:17" ht="14.25" customHeight="1">
      <c r="A776" s="190"/>
      <c r="C776" s="193" t="s">
        <v>77</v>
      </c>
      <c r="E776" s="193"/>
      <c r="G776" s="193"/>
      <c r="O776" s="339"/>
    </row>
    <row r="777" spans="1:17" s="175" customFormat="1" ht="14.25" customHeight="1">
      <c r="A777" s="190"/>
      <c r="B777" s="128" t="s">
        <v>391</v>
      </c>
      <c r="C777" s="193">
        <f>C731</f>
        <v>277.82999999999993</v>
      </c>
      <c r="D777" s="128" t="s">
        <v>117</v>
      </c>
      <c r="E777" s="248"/>
      <c r="F777" s="294"/>
      <c r="G777" s="193"/>
      <c r="H777" s="128"/>
      <c r="I777" s="128"/>
      <c r="J777" s="128"/>
      <c r="K777" s="128"/>
      <c r="L777" s="128"/>
      <c r="M777" s="128"/>
      <c r="N777" s="128"/>
      <c r="O777" s="339"/>
      <c r="P777" s="189"/>
    </row>
    <row r="778" spans="1:17" s="175" customFormat="1" ht="14.25" customHeight="1">
      <c r="A778" s="190"/>
      <c r="B778" s="128" t="s">
        <v>1260</v>
      </c>
      <c r="C778" s="193">
        <f>C764+C772</f>
        <v>653.37</v>
      </c>
      <c r="D778" s="128" t="s">
        <v>117</v>
      </c>
      <c r="E778" s="248"/>
      <c r="F778" s="294"/>
      <c r="G778" s="193"/>
      <c r="H778" s="128"/>
      <c r="I778" s="128"/>
      <c r="J778" s="128"/>
      <c r="K778" s="128"/>
      <c r="L778" s="128"/>
      <c r="M778" s="128"/>
      <c r="N778" s="128"/>
      <c r="O778" s="339"/>
      <c r="P778" s="189"/>
    </row>
    <row r="779" spans="1:17" ht="14.25" customHeight="1">
      <c r="A779" s="190"/>
      <c r="C779" s="193"/>
      <c r="E779" s="294"/>
      <c r="G779" s="193"/>
      <c r="O779" s="339"/>
    </row>
    <row r="780" spans="1:17" ht="14.25" customHeight="1">
      <c r="A780" s="190"/>
      <c r="B780" s="191" t="s">
        <v>92</v>
      </c>
      <c r="C780" s="274">
        <f>SUM(C777:C778)</f>
        <v>931.19999999999993</v>
      </c>
      <c r="D780" s="191" t="s">
        <v>42</v>
      </c>
      <c r="E780" s="193"/>
      <c r="G780" s="193"/>
      <c r="O780" s="339"/>
    </row>
    <row r="781" spans="1:17" ht="14.25" customHeight="1">
      <c r="A781" s="190"/>
      <c r="C781" s="193"/>
      <c r="E781" s="193"/>
      <c r="G781" s="193"/>
      <c r="O781" s="339"/>
    </row>
    <row r="782" spans="1:17">
      <c r="A782" s="245" t="s">
        <v>936</v>
      </c>
      <c r="B782" s="544" t="s">
        <v>371</v>
      </c>
      <c r="C782" s="550"/>
      <c r="D782" s="550"/>
      <c r="E782" s="550"/>
      <c r="F782" s="550"/>
      <c r="G782" s="550"/>
      <c r="H782" s="550"/>
      <c r="I782" s="550"/>
      <c r="J782" s="550"/>
      <c r="K782" s="550"/>
      <c r="L782" s="550"/>
      <c r="M782" s="550"/>
      <c r="N782" s="550"/>
      <c r="O782" s="252">
        <v>103946</v>
      </c>
      <c r="P782" s="350"/>
    </row>
    <row r="783" spans="1:17" ht="14.25" customHeight="1">
      <c r="A783" s="194"/>
      <c r="B783" s="246"/>
      <c r="C783" s="246"/>
      <c r="D783" s="246"/>
      <c r="E783" s="246"/>
      <c r="F783" s="246"/>
      <c r="G783" s="246"/>
      <c r="H783" s="246"/>
      <c r="I783" s="246"/>
      <c r="J783" s="246"/>
      <c r="K783" s="246"/>
      <c r="L783" s="246"/>
      <c r="M783" s="246"/>
      <c r="N783" s="246"/>
      <c r="O783" s="252"/>
      <c r="P783" s="350"/>
    </row>
    <row r="784" spans="1:17" ht="15" customHeight="1">
      <c r="A784" s="190"/>
      <c r="C784" s="193" t="s">
        <v>77</v>
      </c>
      <c r="E784" s="193"/>
      <c r="G784" s="193"/>
      <c r="O784" s="339"/>
    </row>
    <row r="785" spans="1:18" ht="14.25" customHeight="1">
      <c r="A785" s="190"/>
      <c r="B785" s="128" t="s">
        <v>478</v>
      </c>
      <c r="C785" s="197">
        <v>513.11</v>
      </c>
      <c r="D785" s="128" t="s">
        <v>42</v>
      </c>
      <c r="E785" s="193"/>
      <c r="G785" s="193"/>
      <c r="O785" s="339"/>
    </row>
    <row r="786" spans="1:18" ht="14.25" customHeight="1">
      <c r="A786" s="190"/>
      <c r="C786" s="197"/>
      <c r="E786" s="193"/>
      <c r="G786" s="193"/>
      <c r="O786" s="339"/>
    </row>
    <row r="787" spans="1:18" ht="14.25" customHeight="1">
      <c r="A787" s="190"/>
      <c r="B787" s="191" t="s">
        <v>92</v>
      </c>
      <c r="C787" s="274">
        <f>SUM(C785:C785)</f>
        <v>513.11</v>
      </c>
      <c r="D787" s="191" t="s">
        <v>42</v>
      </c>
      <c r="E787" s="193"/>
      <c r="G787" s="193"/>
      <c r="O787" s="339"/>
    </row>
    <row r="788" spans="1:18" ht="14.25" customHeight="1">
      <c r="A788" s="190"/>
      <c r="C788" s="193"/>
      <c r="E788" s="193"/>
      <c r="G788" s="193"/>
      <c r="O788" s="339"/>
    </row>
    <row r="789" spans="1:18" ht="14.25" customHeight="1">
      <c r="A789" s="245" t="s">
        <v>938</v>
      </c>
      <c r="B789" s="544" t="s">
        <v>495</v>
      </c>
      <c r="C789" s="550"/>
      <c r="D789" s="550"/>
      <c r="E789" s="550"/>
      <c r="F789" s="550"/>
      <c r="G789" s="550"/>
      <c r="H789" s="550"/>
      <c r="I789" s="550"/>
      <c r="J789" s="550"/>
      <c r="K789" s="550"/>
      <c r="L789" s="550"/>
      <c r="M789" s="550"/>
      <c r="N789" s="550"/>
      <c r="O789" s="346">
        <v>93358</v>
      </c>
      <c r="Q789" s="187"/>
    </row>
    <row r="790" spans="1:18" ht="14.25" customHeight="1">
      <c r="A790" s="194"/>
      <c r="B790" s="246"/>
      <c r="C790" s="246"/>
      <c r="D790" s="246"/>
      <c r="E790" s="246"/>
      <c r="F790" s="246"/>
      <c r="G790" s="246"/>
      <c r="H790" s="246"/>
      <c r="I790" s="246"/>
      <c r="J790" s="246"/>
      <c r="K790" s="246"/>
      <c r="L790" s="246"/>
      <c r="M790" s="246"/>
      <c r="N790" s="246"/>
      <c r="P790" s="346"/>
    </row>
    <row r="791" spans="1:18" ht="14.25" customHeight="1">
      <c r="A791" s="190"/>
      <c r="B791" s="191" t="s">
        <v>937</v>
      </c>
      <c r="C791" s="193" t="s">
        <v>75</v>
      </c>
      <c r="E791" s="193" t="s">
        <v>86</v>
      </c>
      <c r="G791" s="193" t="s">
        <v>76</v>
      </c>
      <c r="I791" s="128" t="s">
        <v>91</v>
      </c>
      <c r="O791" s="339"/>
    </row>
    <row r="792" spans="1:18" ht="14.25" customHeight="1">
      <c r="A792" s="190"/>
      <c r="B792" s="128" t="s">
        <v>478</v>
      </c>
      <c r="C792" s="197">
        <f>C754</f>
        <v>234.95000000000002</v>
      </c>
      <c r="D792" s="128" t="s">
        <v>78</v>
      </c>
      <c r="E792" s="193">
        <v>0.4</v>
      </c>
      <c r="F792" s="128" t="s">
        <v>78</v>
      </c>
      <c r="G792" s="193">
        <v>7.0000000000000007E-2</v>
      </c>
      <c r="H792" s="128" t="s">
        <v>79</v>
      </c>
      <c r="I792" s="193">
        <f>C792*E792*G792</f>
        <v>6.5786000000000016</v>
      </c>
      <c r="J792" s="128" t="s">
        <v>44</v>
      </c>
      <c r="O792" s="339"/>
    </row>
    <row r="793" spans="1:18" ht="14.25">
      <c r="A793" s="190"/>
      <c r="C793" s="197"/>
      <c r="E793" s="193"/>
      <c r="G793" s="193"/>
      <c r="O793" s="339"/>
    </row>
    <row r="794" spans="1:18" ht="14.25" customHeight="1">
      <c r="A794" s="190"/>
      <c r="B794" s="191" t="s">
        <v>92</v>
      </c>
      <c r="C794" s="274">
        <f>SUM(I792:I792)</f>
        <v>6.5786000000000016</v>
      </c>
      <c r="D794" s="191" t="s">
        <v>44</v>
      </c>
      <c r="E794" s="193"/>
      <c r="G794" s="193"/>
      <c r="O794" s="339"/>
    </row>
    <row r="795" spans="1:18" ht="15" customHeight="1">
      <c r="A795" s="190"/>
      <c r="C795" s="193"/>
      <c r="E795" s="193"/>
      <c r="G795" s="193"/>
      <c r="O795" s="339"/>
    </row>
    <row r="796" spans="1:18" s="175" customFormat="1" ht="14.25" customHeight="1">
      <c r="A796" s="245" t="s">
        <v>1189</v>
      </c>
      <c r="B796" s="544" t="s">
        <v>939</v>
      </c>
      <c r="C796" s="550"/>
      <c r="D796" s="550"/>
      <c r="E796" s="550"/>
      <c r="F796" s="550"/>
      <c r="G796" s="550"/>
      <c r="H796" s="550"/>
      <c r="I796" s="550"/>
      <c r="J796" s="550"/>
      <c r="K796" s="550"/>
      <c r="L796" s="550"/>
      <c r="M796" s="550"/>
      <c r="N796" s="550"/>
      <c r="O796" s="252" t="s">
        <v>1017</v>
      </c>
      <c r="P796" s="350" t="s">
        <v>74</v>
      </c>
      <c r="Q796" s="128"/>
      <c r="R796" s="128"/>
    </row>
    <row r="797" spans="1:18" s="175" customFormat="1" ht="14.25" customHeight="1">
      <c r="A797" s="194"/>
      <c r="B797" s="246"/>
      <c r="C797" s="246"/>
      <c r="D797" s="246"/>
      <c r="E797" s="246"/>
      <c r="F797" s="246"/>
      <c r="G797" s="246"/>
      <c r="H797" s="246"/>
      <c r="I797" s="246"/>
      <c r="J797" s="246"/>
      <c r="K797" s="246"/>
      <c r="L797" s="246"/>
      <c r="M797" s="246"/>
      <c r="N797" s="246"/>
      <c r="O797" s="252"/>
      <c r="P797" s="350"/>
      <c r="Q797" s="128"/>
      <c r="R797" s="128"/>
    </row>
    <row r="798" spans="1:18" ht="14.25" customHeight="1">
      <c r="A798" s="190"/>
      <c r="C798" s="193" t="s">
        <v>77</v>
      </c>
      <c r="E798" s="193" t="s">
        <v>96</v>
      </c>
      <c r="G798" s="193" t="s">
        <v>91</v>
      </c>
      <c r="O798" s="339"/>
    </row>
    <row r="799" spans="1:18" ht="14.25" customHeight="1">
      <c r="A799" s="190"/>
      <c r="B799" s="128" t="s">
        <v>940</v>
      </c>
      <c r="C799" s="197">
        <f>C787</f>
        <v>513.11</v>
      </c>
      <c r="D799" s="128" t="s">
        <v>103</v>
      </c>
      <c r="E799" s="193">
        <v>0.04</v>
      </c>
      <c r="F799" s="128" t="s">
        <v>79</v>
      </c>
      <c r="G799" s="193">
        <f>C799*E799</f>
        <v>20.5244</v>
      </c>
      <c r="H799" s="128" t="s">
        <v>44</v>
      </c>
      <c r="O799" s="339"/>
    </row>
    <row r="800" spans="1:18" ht="14.25">
      <c r="A800" s="190"/>
      <c r="C800" s="197"/>
      <c r="E800" s="193"/>
      <c r="G800" s="193"/>
      <c r="O800" s="339"/>
    </row>
    <row r="801" spans="1:33" ht="14.25" customHeight="1">
      <c r="A801" s="190"/>
      <c r="B801" s="191" t="s">
        <v>92</v>
      </c>
      <c r="C801" s="274">
        <f>G799</f>
        <v>20.5244</v>
      </c>
      <c r="D801" s="191" t="s">
        <v>44</v>
      </c>
      <c r="E801" s="193"/>
      <c r="G801" s="193"/>
      <c r="O801" s="339"/>
    </row>
    <row r="802" spans="1:33" ht="15" customHeight="1">
      <c r="A802" s="190"/>
      <c r="C802" s="193"/>
      <c r="E802" s="193"/>
      <c r="G802" s="193"/>
      <c r="O802" s="339"/>
    </row>
    <row r="803" spans="1:33" ht="14.25" customHeight="1">
      <c r="A803" s="188" t="s">
        <v>151</v>
      </c>
      <c r="B803" s="551" t="s">
        <v>132</v>
      </c>
      <c r="C803" s="552"/>
      <c r="D803" s="552"/>
      <c r="E803" s="552"/>
      <c r="F803" s="552"/>
      <c r="G803" s="552"/>
      <c r="H803" s="552"/>
      <c r="I803" s="552"/>
      <c r="J803" s="552"/>
      <c r="K803" s="552"/>
      <c r="L803" s="552"/>
      <c r="M803" s="552"/>
      <c r="N803" s="552"/>
      <c r="O803" s="346"/>
      <c r="P803" s="347"/>
      <c r="Q803" s="129"/>
    </row>
    <row r="804" spans="1:33" ht="15" customHeight="1">
      <c r="A804" s="188" t="s">
        <v>153</v>
      </c>
      <c r="B804" s="551" t="s">
        <v>49</v>
      </c>
      <c r="C804" s="552"/>
      <c r="D804" s="552"/>
      <c r="E804" s="552"/>
      <c r="F804" s="552"/>
      <c r="G804" s="552"/>
      <c r="H804" s="552"/>
      <c r="I804" s="552"/>
      <c r="J804" s="552"/>
      <c r="K804" s="552"/>
      <c r="L804" s="552"/>
      <c r="M804" s="552"/>
      <c r="N804" s="552"/>
      <c r="O804" s="346"/>
      <c r="P804" s="347"/>
    </row>
    <row r="805" spans="1:33" ht="14.25">
      <c r="A805" s="190"/>
      <c r="C805" s="193"/>
      <c r="E805" s="193"/>
      <c r="G805" s="193"/>
      <c r="O805" s="339"/>
    </row>
    <row r="806" spans="1:33" ht="30.75" customHeight="1">
      <c r="A806" s="247" t="s">
        <v>372</v>
      </c>
      <c r="B806" s="548" t="s">
        <v>1140</v>
      </c>
      <c r="C806" s="548"/>
      <c r="D806" s="548"/>
      <c r="E806" s="548"/>
      <c r="F806" s="548"/>
      <c r="G806" s="548"/>
      <c r="H806" s="548"/>
      <c r="I806" s="548"/>
      <c r="J806" s="548"/>
      <c r="K806" s="548"/>
      <c r="L806" s="548"/>
      <c r="M806" s="548"/>
      <c r="N806" s="548"/>
      <c r="O806" s="367" t="s">
        <v>1261</v>
      </c>
      <c r="P806" s="189" t="s">
        <v>74</v>
      </c>
      <c r="Q806" s="248"/>
    </row>
    <row r="807" spans="1:33" ht="15" customHeight="1">
      <c r="A807" s="202"/>
      <c r="C807" s="249"/>
      <c r="D807" s="249"/>
      <c r="E807" s="249"/>
      <c r="F807" s="249"/>
      <c r="G807" s="249"/>
      <c r="H807" s="249"/>
      <c r="I807" s="249"/>
      <c r="J807" s="249"/>
      <c r="K807" s="249"/>
      <c r="L807" s="249"/>
      <c r="M807" s="249"/>
      <c r="N807" s="249"/>
      <c r="O807" s="367"/>
      <c r="Q807" s="353"/>
    </row>
    <row r="808" spans="1:33" ht="14.25">
      <c r="A808" s="190"/>
      <c r="C808" s="128" t="s">
        <v>87</v>
      </c>
      <c r="D808" s="193"/>
      <c r="G808" s="193"/>
    </row>
    <row r="809" spans="1:33" ht="15" customHeight="1">
      <c r="A809" s="190"/>
      <c r="B809" s="128" t="s">
        <v>141</v>
      </c>
      <c r="C809" s="250">
        <v>6</v>
      </c>
      <c r="D809" s="193" t="s">
        <v>82</v>
      </c>
      <c r="E809" s="193"/>
      <c r="G809" s="251"/>
    </row>
    <row r="810" spans="1:33" ht="14.25">
      <c r="A810" s="190"/>
      <c r="C810" s="250"/>
      <c r="E810" s="193"/>
      <c r="G810" s="193"/>
    </row>
    <row r="811" spans="1:33" ht="15" customHeight="1">
      <c r="A811" s="190"/>
      <c r="B811" s="191" t="s">
        <v>92</v>
      </c>
      <c r="C811" s="192">
        <f>SUM(C809:C809)</f>
        <v>6</v>
      </c>
      <c r="D811" s="191" t="s">
        <v>82</v>
      </c>
      <c r="E811" s="193"/>
      <c r="F811" s="128" t="s">
        <v>137</v>
      </c>
      <c r="G811" s="193"/>
      <c r="O811" s="339"/>
      <c r="Q811" s="353"/>
    </row>
    <row r="812" spans="1:33">
      <c r="A812" s="194"/>
      <c r="B812" s="256"/>
      <c r="C812" s="194"/>
      <c r="D812" s="194"/>
      <c r="E812" s="194"/>
      <c r="F812" s="194"/>
      <c r="G812" s="194"/>
      <c r="H812" s="194"/>
      <c r="I812" s="194"/>
      <c r="J812" s="194"/>
      <c r="K812" s="194"/>
      <c r="L812" s="194"/>
      <c r="M812" s="194"/>
      <c r="N812" s="194"/>
      <c r="O812" s="257"/>
      <c r="P812" s="353"/>
    </row>
    <row r="813" spans="1:33" customFormat="1" ht="34.5" customHeight="1">
      <c r="A813" s="253" t="s">
        <v>410</v>
      </c>
      <c r="B813" s="556" t="s">
        <v>1141</v>
      </c>
      <c r="C813" s="556"/>
      <c r="D813" s="556"/>
      <c r="E813" s="556"/>
      <c r="F813" s="556"/>
      <c r="G813" s="556"/>
      <c r="H813" s="556"/>
      <c r="I813" s="556"/>
      <c r="J813" s="556"/>
      <c r="K813" s="556"/>
      <c r="L813" s="556"/>
      <c r="M813" s="556"/>
      <c r="N813" s="556"/>
      <c r="O813" s="374">
        <v>90844</v>
      </c>
      <c r="P813" s="375"/>
      <c r="Q813" s="376"/>
    </row>
    <row r="814" spans="1:33" customFormat="1" ht="15" customHeight="1">
      <c r="A814" s="254"/>
      <c r="B814" s="237"/>
      <c r="C814" s="255"/>
      <c r="D814" s="255"/>
      <c r="E814" s="255"/>
      <c r="F814" s="255"/>
      <c r="G814" s="255"/>
      <c r="H814" s="255"/>
      <c r="I814" s="255"/>
      <c r="J814" s="255"/>
      <c r="K814" s="255"/>
      <c r="L814" s="255"/>
      <c r="M814" s="255"/>
      <c r="N814" s="255"/>
      <c r="O814" s="374"/>
      <c r="P814" s="375"/>
      <c r="Q814" s="377"/>
      <c r="R814" s="25"/>
      <c r="S814" s="25"/>
      <c r="T814" s="25"/>
      <c r="U814" s="25"/>
      <c r="V814" s="25"/>
      <c r="W814" s="25"/>
      <c r="X814" s="25"/>
      <c r="Y814" s="25"/>
      <c r="Z814" s="25"/>
      <c r="AA814" s="25"/>
      <c r="AB814" s="25"/>
      <c r="AC814" s="25"/>
      <c r="AD814" s="25"/>
      <c r="AE814" s="25"/>
      <c r="AF814" s="25"/>
      <c r="AG814" s="25"/>
    </row>
    <row r="815" spans="1:33" ht="14.25">
      <c r="A815" s="190"/>
      <c r="C815" s="128" t="s">
        <v>87</v>
      </c>
      <c r="D815" s="193"/>
      <c r="G815" s="193"/>
    </row>
    <row r="816" spans="1:33" ht="15" customHeight="1">
      <c r="A816" s="190"/>
      <c r="B816" s="128" t="s">
        <v>139</v>
      </c>
      <c r="C816" s="250">
        <v>5</v>
      </c>
      <c r="D816" s="193" t="s">
        <v>82</v>
      </c>
      <c r="E816" s="193"/>
      <c r="G816" s="251"/>
    </row>
    <row r="817" spans="1:17" ht="14.25">
      <c r="A817" s="190"/>
      <c r="B817" s="128" t="s">
        <v>142</v>
      </c>
      <c r="C817" s="250">
        <v>4</v>
      </c>
      <c r="D817" s="193" t="s">
        <v>82</v>
      </c>
      <c r="E817" s="193"/>
      <c r="G817" s="251"/>
    </row>
    <row r="818" spans="1:17" ht="14.25">
      <c r="A818" s="190"/>
      <c r="C818" s="250"/>
      <c r="E818" s="193"/>
      <c r="G818" s="193"/>
    </row>
    <row r="819" spans="1:17" ht="15" customHeight="1">
      <c r="A819" s="190"/>
      <c r="B819" s="191" t="s">
        <v>92</v>
      </c>
      <c r="C819" s="192">
        <f>SUM(C816:C817)</f>
        <v>9</v>
      </c>
      <c r="D819" s="191" t="s">
        <v>82</v>
      </c>
      <c r="E819" s="193"/>
      <c r="F819" s="128" t="s">
        <v>137</v>
      </c>
      <c r="G819" s="193"/>
      <c r="O819" s="339"/>
      <c r="Q819" s="353"/>
    </row>
    <row r="820" spans="1:17">
      <c r="A820" s="194"/>
      <c r="B820" s="256"/>
      <c r="C820" s="194"/>
      <c r="D820" s="194"/>
      <c r="E820" s="194"/>
      <c r="F820" s="194"/>
      <c r="G820" s="194"/>
      <c r="H820" s="194"/>
      <c r="I820" s="194"/>
      <c r="J820" s="194"/>
      <c r="K820" s="194"/>
      <c r="L820" s="194"/>
      <c r="M820" s="194"/>
      <c r="N820" s="194"/>
      <c r="O820" s="257"/>
      <c r="P820" s="353"/>
    </row>
    <row r="821" spans="1:17" ht="34.5" customHeight="1">
      <c r="A821" s="247" t="s">
        <v>411</v>
      </c>
      <c r="B821" s="548" t="s">
        <v>279</v>
      </c>
      <c r="C821" s="548"/>
      <c r="D821" s="548"/>
      <c r="E821" s="548"/>
      <c r="F821" s="548"/>
      <c r="G821" s="548"/>
      <c r="H821" s="548"/>
      <c r="I821" s="548"/>
      <c r="J821" s="548"/>
      <c r="K821" s="548"/>
      <c r="L821" s="548"/>
      <c r="M821" s="548"/>
      <c r="N821" s="548"/>
      <c r="O821" s="367">
        <v>90843</v>
      </c>
      <c r="Q821" s="248"/>
    </row>
    <row r="822" spans="1:17" ht="15" customHeight="1">
      <c r="A822" s="202"/>
      <c r="C822" s="249"/>
      <c r="D822" s="249"/>
      <c r="E822" s="249"/>
      <c r="F822" s="249"/>
      <c r="G822" s="249"/>
      <c r="H822" s="249"/>
      <c r="I822" s="249"/>
      <c r="J822" s="249"/>
      <c r="K822" s="249"/>
      <c r="L822" s="249"/>
      <c r="M822" s="249"/>
      <c r="N822" s="249"/>
      <c r="O822" s="367"/>
      <c r="Q822" s="353"/>
    </row>
    <row r="823" spans="1:17" ht="14.25">
      <c r="A823" s="190"/>
      <c r="C823" s="128" t="s">
        <v>87</v>
      </c>
      <c r="D823" s="193"/>
      <c r="G823" s="193"/>
    </row>
    <row r="824" spans="1:17" ht="14.25">
      <c r="A824" s="190"/>
      <c r="B824" s="128" t="s">
        <v>138</v>
      </c>
      <c r="C824" s="250">
        <v>4</v>
      </c>
      <c r="D824" s="128" t="s">
        <v>82</v>
      </c>
      <c r="E824" s="193"/>
      <c r="G824" s="193"/>
    </row>
    <row r="825" spans="1:17" ht="14.25">
      <c r="A825" s="190"/>
      <c r="B825" s="128" t="s">
        <v>135</v>
      </c>
      <c r="C825" s="250">
        <v>1</v>
      </c>
      <c r="D825" s="128" t="s">
        <v>82</v>
      </c>
      <c r="E825" s="193"/>
      <c r="G825" s="193"/>
    </row>
    <row r="826" spans="1:17" ht="14.25">
      <c r="A826" s="190"/>
      <c r="C826" s="250"/>
      <c r="E826" s="193"/>
      <c r="G826" s="193"/>
    </row>
    <row r="827" spans="1:17" ht="15" customHeight="1">
      <c r="A827" s="190"/>
      <c r="B827" s="191" t="s">
        <v>92</v>
      </c>
      <c r="C827" s="192">
        <f>SUM(C824:C825)</f>
        <v>5</v>
      </c>
      <c r="D827" s="191" t="s">
        <v>82</v>
      </c>
      <c r="E827" s="193"/>
      <c r="F827" s="128" t="s">
        <v>137</v>
      </c>
      <c r="G827" s="193"/>
      <c r="O827" s="339"/>
      <c r="Q827" s="353"/>
    </row>
    <row r="828" spans="1:17">
      <c r="A828" s="194"/>
      <c r="B828" s="256"/>
      <c r="C828" s="194"/>
      <c r="D828" s="194"/>
      <c r="E828" s="194"/>
      <c r="F828" s="194"/>
      <c r="G828" s="194"/>
      <c r="H828" s="194"/>
      <c r="I828" s="194"/>
      <c r="J828" s="194"/>
      <c r="K828" s="194"/>
      <c r="L828" s="194"/>
      <c r="M828" s="194"/>
      <c r="N828" s="194"/>
      <c r="O828" s="257"/>
      <c r="P828" s="353"/>
    </row>
    <row r="829" spans="1:17" ht="34.5" customHeight="1">
      <c r="A829" s="247" t="s">
        <v>412</v>
      </c>
      <c r="B829" s="548" t="s">
        <v>278</v>
      </c>
      <c r="C829" s="548"/>
      <c r="D829" s="548"/>
      <c r="E829" s="548"/>
      <c r="F829" s="548"/>
      <c r="G829" s="548"/>
      <c r="H829" s="548"/>
      <c r="I829" s="548"/>
      <c r="J829" s="548"/>
      <c r="K829" s="548"/>
      <c r="L829" s="548"/>
      <c r="M829" s="548"/>
      <c r="N829" s="548"/>
      <c r="O829" s="367">
        <v>90842</v>
      </c>
      <c r="Q829" s="248"/>
    </row>
    <row r="830" spans="1:17" ht="15" customHeight="1">
      <c r="A830" s="202"/>
      <c r="C830" s="249"/>
      <c r="D830" s="249"/>
      <c r="E830" s="249"/>
      <c r="F830" s="249"/>
      <c r="G830" s="249"/>
      <c r="H830" s="249"/>
      <c r="I830" s="249"/>
      <c r="J830" s="249"/>
      <c r="K830" s="249"/>
      <c r="L830" s="249"/>
      <c r="M830" s="249"/>
      <c r="N830" s="249"/>
      <c r="O830" s="367"/>
      <c r="Q830" s="353"/>
    </row>
    <row r="831" spans="1:17" ht="14.25">
      <c r="A831" s="190"/>
      <c r="C831" s="128" t="s">
        <v>87</v>
      </c>
      <c r="D831" s="193"/>
      <c r="G831" s="193"/>
    </row>
    <row r="832" spans="1:17" ht="14.25">
      <c r="A832" s="190"/>
      <c r="B832" s="128" t="s">
        <v>134</v>
      </c>
      <c r="C832" s="250">
        <v>6</v>
      </c>
      <c r="D832" s="193" t="s">
        <v>82</v>
      </c>
      <c r="G832" s="193"/>
    </row>
    <row r="833" spans="1:17" ht="14.25">
      <c r="A833" s="190"/>
      <c r="C833" s="250"/>
      <c r="E833" s="193"/>
      <c r="G833" s="193"/>
    </row>
    <row r="834" spans="1:17" ht="15" customHeight="1">
      <c r="A834" s="190"/>
      <c r="B834" s="191" t="s">
        <v>92</v>
      </c>
      <c r="C834" s="192">
        <f>C832</f>
        <v>6</v>
      </c>
      <c r="D834" s="191" t="s">
        <v>82</v>
      </c>
      <c r="E834" s="193"/>
      <c r="F834" s="128" t="s">
        <v>137</v>
      </c>
      <c r="G834" s="193"/>
      <c r="O834" s="339"/>
      <c r="Q834" s="353"/>
    </row>
    <row r="835" spans="1:17">
      <c r="A835" s="194"/>
      <c r="B835" s="256"/>
      <c r="C835" s="194"/>
      <c r="D835" s="194"/>
      <c r="E835" s="194"/>
      <c r="F835" s="194"/>
      <c r="G835" s="194"/>
      <c r="H835" s="194"/>
      <c r="I835" s="194"/>
      <c r="J835" s="194"/>
      <c r="K835" s="194"/>
      <c r="L835" s="194"/>
      <c r="M835" s="194"/>
      <c r="N835" s="194"/>
      <c r="O835" s="257"/>
      <c r="P835" s="353"/>
    </row>
    <row r="836" spans="1:17" ht="32.25" customHeight="1">
      <c r="A836" s="245" t="s">
        <v>1111</v>
      </c>
      <c r="B836" s="544" t="s">
        <v>140</v>
      </c>
      <c r="C836" s="550"/>
      <c r="D836" s="550"/>
      <c r="E836" s="550"/>
      <c r="F836" s="550"/>
      <c r="G836" s="550"/>
      <c r="H836" s="550"/>
      <c r="I836" s="550"/>
      <c r="J836" s="550"/>
      <c r="K836" s="550"/>
      <c r="L836" s="550"/>
      <c r="M836" s="550"/>
      <c r="N836" s="550"/>
      <c r="O836" s="252">
        <v>90841</v>
      </c>
      <c r="P836" s="350"/>
    </row>
    <row r="837" spans="1:17" ht="15" customHeight="1">
      <c r="A837" s="190"/>
      <c r="C837" s="193"/>
      <c r="E837" s="193"/>
      <c r="G837" s="193"/>
      <c r="O837" s="339"/>
      <c r="Q837" s="353"/>
    </row>
    <row r="838" spans="1:17" ht="14.25" customHeight="1">
      <c r="A838" s="190"/>
      <c r="C838" s="128" t="s">
        <v>87</v>
      </c>
      <c r="D838" s="193"/>
      <c r="G838" s="193"/>
      <c r="O838" s="339"/>
    </row>
    <row r="839" spans="1:17" ht="14.25" customHeight="1">
      <c r="A839" s="190"/>
      <c r="B839" s="128" t="s">
        <v>470</v>
      </c>
      <c r="C839" s="193">
        <v>11</v>
      </c>
      <c r="D839" s="193" t="s">
        <v>82</v>
      </c>
      <c r="G839" s="193"/>
      <c r="I839" s="193"/>
      <c r="O839" s="339"/>
    </row>
    <row r="840" spans="1:17" ht="14.25" customHeight="1">
      <c r="A840" s="190"/>
      <c r="B840" s="258"/>
      <c r="C840" s="193"/>
      <c r="D840" s="193"/>
      <c r="G840" s="193"/>
      <c r="I840" s="193"/>
      <c r="O840" s="339"/>
    </row>
    <row r="841" spans="1:17" ht="14.25" customHeight="1">
      <c r="A841" s="190"/>
      <c r="B841" s="191" t="s">
        <v>136</v>
      </c>
      <c r="C841" s="192">
        <f>C839</f>
        <v>11</v>
      </c>
      <c r="D841" s="191" t="s">
        <v>82</v>
      </c>
      <c r="E841" s="193"/>
      <c r="F841" s="193"/>
      <c r="G841" s="193"/>
      <c r="O841" s="339"/>
    </row>
    <row r="842" spans="1:17" ht="14.25" customHeight="1">
      <c r="A842" s="190"/>
      <c r="B842" s="191"/>
      <c r="C842" s="192"/>
      <c r="D842" s="191"/>
      <c r="E842" s="193"/>
      <c r="G842" s="193"/>
      <c r="O842" s="339"/>
    </row>
    <row r="843" spans="1:17">
      <c r="A843" s="245" t="s">
        <v>1142</v>
      </c>
      <c r="B843" s="544" t="s">
        <v>1074</v>
      </c>
      <c r="C843" s="550"/>
      <c r="D843" s="550"/>
      <c r="E843" s="550"/>
      <c r="F843" s="550"/>
      <c r="G843" s="550"/>
      <c r="H843" s="550"/>
      <c r="I843" s="550"/>
      <c r="J843" s="550"/>
      <c r="K843" s="550"/>
      <c r="L843" s="550"/>
      <c r="M843" s="550"/>
      <c r="N843" s="550"/>
      <c r="O843" s="252" t="s">
        <v>1075</v>
      </c>
      <c r="P843" s="350" t="s">
        <v>1076</v>
      </c>
    </row>
    <row r="844" spans="1:17" ht="14.25" customHeight="1">
      <c r="A844" s="194"/>
      <c r="B844" s="246"/>
      <c r="C844" s="246"/>
      <c r="D844" s="246"/>
      <c r="E844" s="246"/>
      <c r="F844" s="246"/>
      <c r="G844" s="246"/>
      <c r="H844" s="246"/>
      <c r="I844" s="246"/>
      <c r="J844" s="246"/>
      <c r="K844" s="246"/>
      <c r="L844" s="246"/>
      <c r="M844" s="246"/>
      <c r="N844" s="246"/>
      <c r="O844" s="252"/>
      <c r="P844" s="350"/>
    </row>
    <row r="845" spans="1:17" ht="14.25" customHeight="1">
      <c r="A845" s="190"/>
      <c r="C845" s="193" t="s">
        <v>75</v>
      </c>
      <c r="E845" s="193" t="s">
        <v>87</v>
      </c>
      <c r="G845" s="128" t="s">
        <v>75</v>
      </c>
      <c r="O845" s="339"/>
    </row>
    <row r="846" spans="1:17" ht="14.25" customHeight="1">
      <c r="A846" s="190"/>
      <c r="B846" s="128" t="s">
        <v>141</v>
      </c>
      <c r="C846" s="193">
        <f>1+2.17+2.17</f>
        <v>5.34</v>
      </c>
      <c r="D846" s="128" t="s">
        <v>78</v>
      </c>
      <c r="E846" s="193">
        <f>C809</f>
        <v>6</v>
      </c>
      <c r="F846" s="128" t="s">
        <v>95</v>
      </c>
      <c r="G846" s="193">
        <f>C846*E846</f>
        <v>32.04</v>
      </c>
      <c r="H846" s="128" t="s">
        <v>50</v>
      </c>
      <c r="I846" s="193"/>
      <c r="O846" s="339"/>
    </row>
    <row r="847" spans="1:17" ht="14.25" customHeight="1">
      <c r="A847" s="190"/>
      <c r="B847" s="128" t="s">
        <v>139</v>
      </c>
      <c r="C847" s="193">
        <f>1+2.17+2.17</f>
        <v>5.34</v>
      </c>
      <c r="D847" s="128" t="s">
        <v>78</v>
      </c>
      <c r="E847" s="193">
        <f>C816</f>
        <v>5</v>
      </c>
      <c r="F847" s="128" t="s">
        <v>95</v>
      </c>
      <c r="G847" s="193">
        <f t="shared" ref="G847:G850" si="4">C847*E847</f>
        <v>26.7</v>
      </c>
      <c r="H847" s="128" t="s">
        <v>50</v>
      </c>
      <c r="I847" s="193"/>
      <c r="O847" s="339"/>
    </row>
    <row r="848" spans="1:17" ht="14.25" customHeight="1">
      <c r="A848" s="190"/>
      <c r="B848" s="128" t="s">
        <v>138</v>
      </c>
      <c r="C848" s="193">
        <f>0.9+2.17+2.17</f>
        <v>5.24</v>
      </c>
      <c r="D848" s="128" t="s">
        <v>78</v>
      </c>
      <c r="E848" s="193">
        <f>C824</f>
        <v>4</v>
      </c>
      <c r="F848" s="128" t="s">
        <v>95</v>
      </c>
      <c r="G848" s="193">
        <f t="shared" si="4"/>
        <v>20.96</v>
      </c>
      <c r="H848" s="128" t="s">
        <v>50</v>
      </c>
      <c r="O848" s="339"/>
    </row>
    <row r="849" spans="1:17" ht="14.25" customHeight="1">
      <c r="A849" s="190"/>
      <c r="B849" s="128" t="s">
        <v>134</v>
      </c>
      <c r="C849" s="193">
        <f>0.8+2.17+2.17</f>
        <v>5.14</v>
      </c>
      <c r="D849" s="128" t="s">
        <v>78</v>
      </c>
      <c r="E849" s="193">
        <f>C832</f>
        <v>6</v>
      </c>
      <c r="F849" s="128" t="s">
        <v>95</v>
      </c>
      <c r="G849" s="193">
        <f t="shared" si="4"/>
        <v>30.839999999999996</v>
      </c>
      <c r="H849" s="128" t="s">
        <v>50</v>
      </c>
      <c r="O849" s="339"/>
    </row>
    <row r="850" spans="1:17" ht="14.25" customHeight="1">
      <c r="A850" s="190"/>
      <c r="B850" s="128" t="s">
        <v>135</v>
      </c>
      <c r="C850" s="193">
        <f>0.9+2.17+2.17</f>
        <v>5.24</v>
      </c>
      <c r="D850" s="128" t="s">
        <v>78</v>
      </c>
      <c r="E850" s="193">
        <f>C825</f>
        <v>1</v>
      </c>
      <c r="F850" s="128" t="s">
        <v>95</v>
      </c>
      <c r="G850" s="193">
        <f t="shared" si="4"/>
        <v>5.24</v>
      </c>
      <c r="H850" s="128" t="s">
        <v>50</v>
      </c>
      <c r="O850" s="339"/>
    </row>
    <row r="851" spans="1:17" ht="14.25" customHeight="1">
      <c r="A851" s="190"/>
      <c r="B851" s="128" t="s">
        <v>142</v>
      </c>
      <c r="C851" s="193">
        <f>1+2.17+2.17</f>
        <v>5.34</v>
      </c>
      <c r="D851" s="128" t="s">
        <v>78</v>
      </c>
      <c r="E851" s="193">
        <f>C817</f>
        <v>4</v>
      </c>
      <c r="F851" s="128" t="s">
        <v>95</v>
      </c>
      <c r="G851" s="193">
        <f t="shared" ref="G851" si="5">C851*E851</f>
        <v>21.36</v>
      </c>
      <c r="H851" s="128" t="s">
        <v>50</v>
      </c>
      <c r="O851" s="339"/>
    </row>
    <row r="852" spans="1:17" ht="14.25" customHeight="1">
      <c r="A852" s="190"/>
      <c r="C852" s="193"/>
      <c r="E852" s="193"/>
      <c r="G852" s="193"/>
      <c r="O852" s="339"/>
    </row>
    <row r="853" spans="1:17" ht="14.25" customHeight="1">
      <c r="A853" s="190"/>
      <c r="B853" s="191" t="s">
        <v>136</v>
      </c>
      <c r="C853" s="192">
        <f>SUM(G846:G851)</f>
        <v>137.13999999999999</v>
      </c>
      <c r="D853" s="191" t="s">
        <v>50</v>
      </c>
      <c r="E853" s="193"/>
      <c r="G853" s="193"/>
      <c r="O853" s="339"/>
    </row>
    <row r="854" spans="1:17" ht="14.25" customHeight="1">
      <c r="A854" s="190"/>
      <c r="B854" s="191"/>
      <c r="C854" s="192"/>
      <c r="D854" s="191"/>
      <c r="E854" s="193"/>
      <c r="G854" s="193"/>
      <c r="O854" s="339"/>
      <c r="Q854" s="129"/>
    </row>
    <row r="855" spans="1:17" ht="14.25" customHeight="1">
      <c r="A855" s="188" t="s">
        <v>154</v>
      </c>
      <c r="B855" s="551" t="s">
        <v>51</v>
      </c>
      <c r="C855" s="552"/>
      <c r="D855" s="552"/>
      <c r="E855" s="552"/>
      <c r="F855" s="552"/>
      <c r="G855" s="552"/>
      <c r="H855" s="552"/>
      <c r="I855" s="552"/>
      <c r="J855" s="552"/>
      <c r="K855" s="552"/>
      <c r="L855" s="552"/>
      <c r="M855" s="552"/>
      <c r="N855" s="552"/>
      <c r="O855" s="346"/>
      <c r="P855" s="347"/>
    </row>
    <row r="856" spans="1:17" ht="14.25" customHeight="1">
      <c r="A856" s="190"/>
      <c r="C856" s="193"/>
      <c r="E856" s="193"/>
      <c r="G856" s="193"/>
      <c r="O856" s="339"/>
    </row>
    <row r="857" spans="1:17" ht="14.25" customHeight="1">
      <c r="A857" s="245" t="s">
        <v>413</v>
      </c>
      <c r="B857" s="544" t="s">
        <v>144</v>
      </c>
      <c r="C857" s="550"/>
      <c r="D857" s="550"/>
      <c r="E857" s="550"/>
      <c r="F857" s="550"/>
      <c r="G857" s="550"/>
      <c r="H857" s="550"/>
      <c r="I857" s="550"/>
      <c r="J857" s="550"/>
      <c r="K857" s="550"/>
      <c r="L857" s="550"/>
      <c r="M857" s="550"/>
      <c r="N857" s="550"/>
      <c r="O857" s="252">
        <v>100874</v>
      </c>
      <c r="P857" s="350"/>
    </row>
    <row r="858" spans="1:17" ht="14.25" customHeight="1">
      <c r="A858" s="190"/>
      <c r="C858" s="193"/>
      <c r="E858" s="193"/>
      <c r="G858" s="193"/>
      <c r="O858" s="339"/>
    </row>
    <row r="859" spans="1:17" ht="14.25" customHeight="1">
      <c r="A859" s="190"/>
      <c r="C859" s="193" t="s">
        <v>87</v>
      </c>
      <c r="E859" s="193"/>
      <c r="G859" s="193"/>
      <c r="O859" s="339"/>
    </row>
    <row r="860" spans="1:17" ht="14.25" customHeight="1">
      <c r="A860" s="190"/>
      <c r="B860" s="128" t="s">
        <v>141</v>
      </c>
      <c r="C860" s="193">
        <f>C809</f>
        <v>6</v>
      </c>
      <c r="D860" s="128" t="s">
        <v>82</v>
      </c>
      <c r="E860" s="193"/>
      <c r="G860" s="193"/>
      <c r="I860" s="193"/>
      <c r="O860" s="339"/>
    </row>
    <row r="861" spans="1:17" ht="14.25" customHeight="1">
      <c r="A861" s="190"/>
      <c r="B861" s="128" t="s">
        <v>142</v>
      </c>
      <c r="C861" s="193">
        <f>C817</f>
        <v>4</v>
      </c>
      <c r="D861" s="128" t="s">
        <v>82</v>
      </c>
      <c r="E861" s="193"/>
      <c r="G861" s="193"/>
      <c r="I861" s="193"/>
      <c r="O861" s="339"/>
    </row>
    <row r="862" spans="1:17" ht="14.25" customHeight="1">
      <c r="A862" s="190"/>
      <c r="C862" s="193"/>
      <c r="E862" s="193"/>
      <c r="G862" s="193"/>
      <c r="O862" s="339"/>
    </row>
    <row r="863" spans="1:17" ht="14.25" customHeight="1">
      <c r="A863" s="190"/>
      <c r="B863" s="191" t="s">
        <v>92</v>
      </c>
      <c r="C863" s="192">
        <f>SUM(C860:C861)</f>
        <v>10</v>
      </c>
      <c r="D863" s="191" t="s">
        <v>82</v>
      </c>
      <c r="E863" s="193"/>
      <c r="G863" s="193"/>
      <c r="O863" s="339"/>
    </row>
    <row r="864" spans="1:17" ht="14.25" customHeight="1">
      <c r="A864" s="190"/>
      <c r="C864" s="192"/>
      <c r="D864" s="191"/>
      <c r="E864" s="193"/>
      <c r="G864" s="193"/>
      <c r="O864" s="339"/>
    </row>
    <row r="865" spans="1:17" ht="14.25" customHeight="1">
      <c r="A865" s="245" t="s">
        <v>414</v>
      </c>
      <c r="B865" s="544" t="s">
        <v>145</v>
      </c>
      <c r="C865" s="550"/>
      <c r="D865" s="550"/>
      <c r="E865" s="550"/>
      <c r="F865" s="550"/>
      <c r="G865" s="550"/>
      <c r="H865" s="550"/>
      <c r="I865" s="550"/>
      <c r="J865" s="550"/>
      <c r="K865" s="550"/>
      <c r="L865" s="550"/>
      <c r="M865" s="550"/>
      <c r="N865" s="550"/>
      <c r="O865" s="346">
        <v>100705</v>
      </c>
      <c r="P865" s="350"/>
    </row>
    <row r="866" spans="1:17" ht="14.25" customHeight="1">
      <c r="A866" s="190"/>
      <c r="C866" s="193"/>
      <c r="E866" s="193"/>
      <c r="G866" s="193"/>
      <c r="O866" s="339"/>
    </row>
    <row r="867" spans="1:17" ht="14.25" customHeight="1">
      <c r="A867" s="190"/>
      <c r="C867" s="193" t="s">
        <v>87</v>
      </c>
      <c r="E867" s="193"/>
      <c r="G867" s="193"/>
      <c r="O867" s="339"/>
    </row>
    <row r="868" spans="1:17" ht="14.25" customHeight="1">
      <c r="A868" s="190"/>
      <c r="B868" s="128" t="s">
        <v>470</v>
      </c>
      <c r="C868" s="193">
        <f>C841</f>
        <v>11</v>
      </c>
      <c r="D868" s="128" t="s">
        <v>82</v>
      </c>
      <c r="E868" s="193"/>
      <c r="G868" s="193"/>
      <c r="I868" s="193"/>
      <c r="O868" s="339"/>
    </row>
    <row r="869" spans="1:17" ht="14.25" customHeight="1">
      <c r="A869" s="190"/>
      <c r="C869" s="193"/>
      <c r="E869" s="193"/>
      <c r="G869" s="193"/>
      <c r="O869" s="339"/>
    </row>
    <row r="870" spans="1:17" ht="14.25" customHeight="1">
      <c r="A870" s="190"/>
      <c r="B870" s="191" t="s">
        <v>92</v>
      </c>
      <c r="C870" s="192">
        <f>SUM(C868)</f>
        <v>11</v>
      </c>
      <c r="D870" s="191" t="s">
        <v>82</v>
      </c>
      <c r="E870" s="193"/>
      <c r="G870" s="193"/>
      <c r="O870" s="339"/>
    </row>
    <row r="871" spans="1:17" ht="15" customHeight="1">
      <c r="A871" s="190"/>
      <c r="C871" s="193"/>
      <c r="E871" s="193"/>
      <c r="G871" s="193"/>
      <c r="O871" s="339"/>
    </row>
    <row r="872" spans="1:17">
      <c r="A872" s="247" t="s">
        <v>415</v>
      </c>
      <c r="B872" s="548" t="s">
        <v>1077</v>
      </c>
      <c r="C872" s="548"/>
      <c r="D872" s="548"/>
      <c r="E872" s="548"/>
      <c r="F872" s="548"/>
      <c r="G872" s="548"/>
      <c r="H872" s="548"/>
      <c r="I872" s="548"/>
      <c r="J872" s="548"/>
      <c r="K872" s="548"/>
      <c r="L872" s="548"/>
      <c r="M872" s="548"/>
      <c r="N872" s="548"/>
      <c r="O872" s="378" t="s">
        <v>1112</v>
      </c>
      <c r="P872" s="361" t="s">
        <v>74</v>
      </c>
    </row>
    <row r="873" spans="1:17" s="175" customFormat="1" ht="14.25">
      <c r="A873" s="190"/>
      <c r="B873" s="128"/>
      <c r="C873" s="193"/>
      <c r="D873" s="128"/>
      <c r="E873" s="193"/>
      <c r="F873" s="128"/>
      <c r="G873" s="193"/>
      <c r="H873" s="128"/>
      <c r="I873" s="128"/>
      <c r="J873" s="128"/>
      <c r="K873" s="128"/>
      <c r="L873" s="128"/>
      <c r="M873" s="128"/>
      <c r="N873" s="128"/>
      <c r="O873" s="379"/>
      <c r="P873" s="189"/>
      <c r="Q873" s="128"/>
    </row>
    <row r="874" spans="1:17" ht="14.25">
      <c r="A874" s="190"/>
      <c r="C874" s="193" t="s">
        <v>75</v>
      </c>
      <c r="E874" s="193" t="s">
        <v>76</v>
      </c>
      <c r="G874" s="193" t="s">
        <v>87</v>
      </c>
      <c r="I874" s="193" t="s">
        <v>129</v>
      </c>
      <c r="J874" s="175"/>
      <c r="K874" s="128" t="s">
        <v>77</v>
      </c>
      <c r="O874" s="379"/>
    </row>
    <row r="875" spans="1:17" ht="14.25">
      <c r="A875" s="190"/>
      <c r="B875" s="128" t="s">
        <v>141</v>
      </c>
      <c r="C875" s="193">
        <v>0.9</v>
      </c>
      <c r="D875" s="128" t="s">
        <v>78</v>
      </c>
      <c r="E875" s="193">
        <v>0.5</v>
      </c>
      <c r="F875" s="128" t="s">
        <v>78</v>
      </c>
      <c r="G875" s="193">
        <f>C809</f>
        <v>6</v>
      </c>
      <c r="H875" s="128" t="s">
        <v>130</v>
      </c>
      <c r="I875" s="193">
        <v>2</v>
      </c>
      <c r="J875" s="128" t="s">
        <v>95</v>
      </c>
      <c r="K875" s="193">
        <f>C875*E875*G875*I875</f>
        <v>5.4</v>
      </c>
      <c r="L875" s="128" t="s">
        <v>42</v>
      </c>
      <c r="O875" s="379"/>
    </row>
    <row r="876" spans="1:17" ht="14.25">
      <c r="A876" s="190"/>
      <c r="B876" s="128" t="s">
        <v>142</v>
      </c>
      <c r="C876" s="193">
        <v>0.9</v>
      </c>
      <c r="D876" s="128" t="s">
        <v>78</v>
      </c>
      <c r="E876" s="193">
        <v>0.5</v>
      </c>
      <c r="F876" s="128" t="s">
        <v>78</v>
      </c>
      <c r="G876" s="193">
        <f>C861</f>
        <v>4</v>
      </c>
      <c r="H876" s="128" t="s">
        <v>130</v>
      </c>
      <c r="I876" s="193">
        <v>2</v>
      </c>
      <c r="J876" s="128" t="s">
        <v>95</v>
      </c>
      <c r="K876" s="193">
        <f t="shared" ref="K876" si="6">C876*E876*G876*I876</f>
        <v>3.6</v>
      </c>
      <c r="L876" s="128" t="s">
        <v>42</v>
      </c>
      <c r="O876" s="379"/>
    </row>
    <row r="877" spans="1:17" ht="14.25">
      <c r="A877" s="190"/>
      <c r="C877" s="193"/>
      <c r="E877" s="193"/>
      <c r="G877" s="193"/>
      <c r="I877" s="193"/>
      <c r="K877" s="193"/>
      <c r="O877" s="379"/>
    </row>
    <row r="878" spans="1:17">
      <c r="A878" s="190"/>
      <c r="B878" s="191" t="s">
        <v>92</v>
      </c>
      <c r="C878" s="192">
        <f>SUM(K875:K876)</f>
        <v>9</v>
      </c>
      <c r="D878" s="191" t="s">
        <v>42</v>
      </c>
      <c r="E878" s="193"/>
      <c r="G878" s="193"/>
      <c r="O878" s="339"/>
    </row>
    <row r="879" spans="1:17" ht="14.25" customHeight="1">
      <c r="A879" s="190"/>
      <c r="B879" s="191"/>
      <c r="C879" s="192"/>
      <c r="D879" s="191"/>
      <c r="E879" s="193"/>
      <c r="G879" s="193"/>
      <c r="O879" s="339"/>
      <c r="Q879" s="129"/>
    </row>
    <row r="880" spans="1:17" ht="14.25" customHeight="1">
      <c r="A880" s="245" t="s">
        <v>902</v>
      </c>
      <c r="B880" s="544" t="s">
        <v>471</v>
      </c>
      <c r="C880" s="550"/>
      <c r="D880" s="550"/>
      <c r="E880" s="550"/>
      <c r="F880" s="550"/>
      <c r="G880" s="550"/>
      <c r="H880" s="550"/>
      <c r="I880" s="550"/>
      <c r="J880" s="550"/>
      <c r="K880" s="550"/>
      <c r="L880" s="550"/>
      <c r="M880" s="550"/>
      <c r="N880" s="550"/>
      <c r="O880" s="346">
        <v>90830</v>
      </c>
      <c r="P880" s="350"/>
    </row>
    <row r="881" spans="1:17" ht="14.25" customHeight="1">
      <c r="A881" s="190"/>
      <c r="C881" s="193"/>
      <c r="E881" s="193"/>
      <c r="G881" s="193"/>
      <c r="O881" s="339"/>
    </row>
    <row r="882" spans="1:17" ht="14.25" customHeight="1">
      <c r="A882" s="190"/>
      <c r="C882" s="193" t="s">
        <v>87</v>
      </c>
      <c r="E882" s="193"/>
      <c r="G882" s="193"/>
      <c r="O882" s="339"/>
    </row>
    <row r="883" spans="1:17" ht="14.25" customHeight="1">
      <c r="A883" s="190"/>
      <c r="B883" s="128" t="s">
        <v>218</v>
      </c>
      <c r="C883" s="193">
        <f>G977</f>
        <v>1</v>
      </c>
      <c r="D883" s="128" t="s">
        <v>82</v>
      </c>
      <c r="E883" s="193"/>
      <c r="G883" s="193"/>
      <c r="I883" s="193"/>
      <c r="O883" s="339"/>
    </row>
    <row r="884" spans="1:17" ht="14.25" customHeight="1">
      <c r="A884" s="190"/>
      <c r="B884" s="271" t="s">
        <v>222</v>
      </c>
      <c r="C884" s="193">
        <f>G958</f>
        <v>2</v>
      </c>
      <c r="D884" s="128" t="s">
        <v>82</v>
      </c>
      <c r="E884" s="193"/>
      <c r="G884" s="193"/>
      <c r="I884" s="193"/>
      <c r="O884" s="339"/>
    </row>
    <row r="885" spans="1:17" ht="14.25" customHeight="1">
      <c r="A885" s="190"/>
      <c r="B885" s="271" t="s">
        <v>223</v>
      </c>
      <c r="C885" s="193">
        <f t="shared" ref="C885" si="7">G959</f>
        <v>1</v>
      </c>
      <c r="D885" s="128" t="s">
        <v>82</v>
      </c>
      <c r="E885" s="193"/>
      <c r="G885" s="193"/>
      <c r="O885" s="339"/>
    </row>
    <row r="886" spans="1:17" ht="14.25" customHeight="1">
      <c r="A886" s="190"/>
      <c r="B886" s="271"/>
      <c r="C886" s="193"/>
      <c r="E886" s="193"/>
      <c r="G886" s="193"/>
      <c r="I886" s="193"/>
      <c r="O886" s="339"/>
    </row>
    <row r="887" spans="1:17" ht="14.25" customHeight="1">
      <c r="A887" s="190"/>
      <c r="B887" s="191" t="s">
        <v>92</v>
      </c>
      <c r="C887" s="192">
        <f>SUM(C883:C885)</f>
        <v>4</v>
      </c>
      <c r="D887" s="191" t="s">
        <v>82</v>
      </c>
      <c r="E887" s="193"/>
      <c r="G887" s="193"/>
      <c r="O887" s="339"/>
    </row>
    <row r="888" spans="1:17" ht="15" customHeight="1">
      <c r="A888" s="190"/>
      <c r="C888" s="193"/>
      <c r="E888" s="193"/>
      <c r="G888" s="193"/>
      <c r="O888" s="339"/>
    </row>
    <row r="889" spans="1:17" ht="14.25" customHeight="1">
      <c r="A889" s="188" t="s">
        <v>416</v>
      </c>
      <c r="B889" s="551" t="s">
        <v>52</v>
      </c>
      <c r="C889" s="552"/>
      <c r="D889" s="552"/>
      <c r="E889" s="552"/>
      <c r="F889" s="552"/>
      <c r="G889" s="552"/>
      <c r="H889" s="552"/>
      <c r="I889" s="552"/>
      <c r="J889" s="552"/>
      <c r="K889" s="552"/>
      <c r="L889" s="552"/>
      <c r="M889" s="552"/>
      <c r="N889" s="552"/>
      <c r="O889" s="346"/>
      <c r="P889" s="347"/>
    </row>
    <row r="890" spans="1:17" ht="14.25" customHeight="1">
      <c r="A890" s="190"/>
      <c r="C890" s="193"/>
      <c r="E890" s="193"/>
      <c r="G890" s="193"/>
      <c r="O890" s="339"/>
    </row>
    <row r="891" spans="1:17" ht="15.75" customHeight="1">
      <c r="A891" s="245" t="s">
        <v>417</v>
      </c>
      <c r="B891" s="544" t="s">
        <v>1079</v>
      </c>
      <c r="C891" s="550"/>
      <c r="D891" s="550"/>
      <c r="E891" s="550"/>
      <c r="F891" s="550"/>
      <c r="G891" s="550"/>
      <c r="H891" s="550"/>
      <c r="I891" s="550"/>
      <c r="J891" s="550"/>
      <c r="K891" s="550"/>
      <c r="L891" s="550"/>
      <c r="M891" s="550"/>
      <c r="N891" s="550"/>
      <c r="O891" s="252" t="s">
        <v>1078</v>
      </c>
      <c r="P891" s="350" t="s">
        <v>74</v>
      </c>
    </row>
    <row r="892" spans="1:17" ht="15" customHeight="1">
      <c r="A892" s="194"/>
      <c r="B892" s="246"/>
      <c r="C892" s="246"/>
      <c r="D892" s="246"/>
      <c r="E892" s="246"/>
      <c r="F892" s="246"/>
      <c r="G892" s="246"/>
      <c r="H892" s="246"/>
      <c r="I892" s="246"/>
      <c r="J892" s="246"/>
      <c r="K892" s="246"/>
      <c r="L892" s="246"/>
      <c r="M892" s="246"/>
      <c r="N892" s="246"/>
      <c r="O892" s="346"/>
      <c r="P892" s="350"/>
      <c r="Q892" s="353"/>
    </row>
    <row r="893" spans="1:17" ht="14.25" customHeight="1">
      <c r="A893" s="194"/>
      <c r="C893" s="259" t="s">
        <v>87</v>
      </c>
      <c r="D893" s="246"/>
      <c r="E893" s="246"/>
      <c r="F893" s="246"/>
      <c r="G893" s="246"/>
      <c r="H893" s="246"/>
      <c r="I893" s="246"/>
      <c r="J893" s="246"/>
      <c r="K893" s="246"/>
      <c r="L893" s="246"/>
      <c r="M893" s="246"/>
      <c r="N893" s="246"/>
      <c r="O893" s="346"/>
      <c r="P893" s="350"/>
    </row>
    <row r="894" spans="1:17" ht="14.25" customHeight="1">
      <c r="A894" s="190"/>
      <c r="B894" s="259" t="s">
        <v>146</v>
      </c>
      <c r="C894" s="193">
        <v>1</v>
      </c>
      <c r="D894" s="128" t="s">
        <v>82</v>
      </c>
      <c r="E894" s="193"/>
      <c r="G894" s="193"/>
      <c r="I894" s="193"/>
      <c r="O894" s="339"/>
    </row>
    <row r="895" spans="1:17" ht="14.25" customHeight="1">
      <c r="A895" s="190"/>
      <c r="B895" s="246"/>
      <c r="C895" s="193"/>
      <c r="E895" s="193"/>
      <c r="G895" s="193"/>
      <c r="I895" s="193"/>
      <c r="O895" s="339"/>
    </row>
    <row r="896" spans="1:17" ht="14.25" customHeight="1">
      <c r="A896" s="190"/>
      <c r="B896" s="191" t="s">
        <v>92</v>
      </c>
      <c r="C896" s="192">
        <f>SUM(C894:C894)</f>
        <v>1</v>
      </c>
      <c r="D896" s="191" t="s">
        <v>82</v>
      </c>
      <c r="E896" s="193"/>
      <c r="G896" s="193"/>
      <c r="I896" s="193"/>
      <c r="O896" s="339"/>
    </row>
    <row r="897" spans="1:33" ht="14.25" customHeight="1">
      <c r="A897" s="190"/>
      <c r="C897" s="193"/>
      <c r="E897" s="193"/>
      <c r="G897" s="193"/>
      <c r="O897" s="339"/>
    </row>
    <row r="898" spans="1:33" ht="14.25" customHeight="1">
      <c r="A898" s="245" t="s">
        <v>418</v>
      </c>
      <c r="B898" s="544" t="s">
        <v>147</v>
      </c>
      <c r="C898" s="550"/>
      <c r="D898" s="550"/>
      <c r="E898" s="550"/>
      <c r="F898" s="550"/>
      <c r="G898" s="550"/>
      <c r="H898" s="550"/>
      <c r="I898" s="550"/>
      <c r="J898" s="550"/>
      <c r="K898" s="550"/>
      <c r="L898" s="550"/>
      <c r="M898" s="550"/>
      <c r="N898" s="550"/>
      <c r="O898" s="346" t="s">
        <v>1018</v>
      </c>
      <c r="P898" s="350" t="s">
        <v>74</v>
      </c>
    </row>
    <row r="899" spans="1:33" ht="15" customHeight="1">
      <c r="A899" s="190"/>
      <c r="C899" s="193"/>
      <c r="E899" s="193"/>
      <c r="G899" s="193"/>
      <c r="O899" s="339"/>
      <c r="Q899" s="353"/>
    </row>
    <row r="900" spans="1:33" ht="14.25" customHeight="1">
      <c r="A900" s="190"/>
      <c r="B900" s="191"/>
      <c r="C900" s="193" t="s">
        <v>75</v>
      </c>
      <c r="E900" s="193" t="s">
        <v>76</v>
      </c>
      <c r="G900" s="193" t="s">
        <v>87</v>
      </c>
      <c r="I900" s="128" t="s">
        <v>77</v>
      </c>
      <c r="O900" s="339"/>
      <c r="Q900" s="129"/>
      <c r="R900" s="129"/>
      <c r="S900" s="129"/>
      <c r="T900" s="129"/>
      <c r="U900" s="129"/>
      <c r="V900" s="129"/>
      <c r="W900" s="129"/>
      <c r="X900" s="129"/>
      <c r="Y900" s="129"/>
      <c r="Z900" s="129"/>
      <c r="AA900" s="129"/>
      <c r="AB900" s="129"/>
      <c r="AC900" s="129"/>
      <c r="AD900" s="129"/>
      <c r="AE900" s="129"/>
      <c r="AF900" s="129"/>
      <c r="AG900" s="129"/>
    </row>
    <row r="901" spans="1:33" ht="14.25" customHeight="1">
      <c r="A901" s="199"/>
      <c r="B901" s="128" t="s">
        <v>449</v>
      </c>
      <c r="C901" s="193">
        <v>0.5</v>
      </c>
      <c r="D901" s="128" t="s">
        <v>78</v>
      </c>
      <c r="E901" s="193">
        <v>0.8</v>
      </c>
      <c r="F901" s="128" t="s">
        <v>78</v>
      </c>
      <c r="G901" s="193">
        <v>2</v>
      </c>
      <c r="H901" s="128" t="s">
        <v>95</v>
      </c>
      <c r="I901" s="187">
        <f>C901*E901*G901</f>
        <v>0.8</v>
      </c>
      <c r="J901" s="187" t="s">
        <v>42</v>
      </c>
      <c r="K901" s="129"/>
      <c r="L901" s="129"/>
      <c r="M901" s="129"/>
      <c r="N901" s="129"/>
      <c r="O901" s="358"/>
      <c r="P901" s="347"/>
      <c r="Q901" s="129"/>
      <c r="R901" s="129"/>
      <c r="S901" s="129"/>
      <c r="T901" s="129"/>
      <c r="U901" s="129"/>
      <c r="V901" s="129"/>
      <c r="W901" s="129"/>
      <c r="X901" s="129"/>
      <c r="Y901" s="129"/>
      <c r="Z901" s="129"/>
      <c r="AA901" s="129"/>
      <c r="AB901" s="129"/>
      <c r="AC901" s="129"/>
      <c r="AD901" s="129"/>
      <c r="AE901" s="129"/>
      <c r="AF901" s="129"/>
      <c r="AG901" s="129"/>
    </row>
    <row r="902" spans="1:33" ht="14.25" customHeight="1">
      <c r="A902" s="199"/>
      <c r="B902" s="128" t="s">
        <v>465</v>
      </c>
      <c r="C902" s="193">
        <v>0.4</v>
      </c>
      <c r="D902" s="128" t="s">
        <v>78</v>
      </c>
      <c r="E902" s="193">
        <v>0.8</v>
      </c>
      <c r="F902" s="128" t="s">
        <v>78</v>
      </c>
      <c r="G902" s="193">
        <f>4*2+3*2</f>
        <v>14</v>
      </c>
      <c r="H902" s="128" t="s">
        <v>95</v>
      </c>
      <c r="I902" s="187">
        <f>C902*E902*G902</f>
        <v>4.4800000000000004</v>
      </c>
      <c r="J902" s="187" t="s">
        <v>42</v>
      </c>
      <c r="K902" s="129"/>
      <c r="L902" s="129"/>
      <c r="M902" s="129"/>
      <c r="N902" s="129"/>
      <c r="O902" s="358"/>
      <c r="P902" s="347"/>
      <c r="Q902" s="129"/>
      <c r="R902" s="129"/>
      <c r="S902" s="129"/>
      <c r="T902" s="129"/>
      <c r="U902" s="129"/>
      <c r="V902" s="129"/>
      <c r="W902" s="129"/>
      <c r="X902" s="129"/>
      <c r="Y902" s="129"/>
      <c r="Z902" s="129"/>
      <c r="AA902" s="129"/>
      <c r="AB902" s="129"/>
      <c r="AC902" s="129"/>
      <c r="AD902" s="129"/>
      <c r="AE902" s="129"/>
      <c r="AF902" s="129"/>
      <c r="AG902" s="129"/>
    </row>
    <row r="903" spans="1:33" ht="14.25" customHeight="1">
      <c r="A903" s="199"/>
      <c r="B903" s="128" t="s">
        <v>1143</v>
      </c>
      <c r="C903" s="193">
        <v>0.4</v>
      </c>
      <c r="D903" s="128" t="s">
        <v>78</v>
      </c>
      <c r="E903" s="193">
        <v>0.8</v>
      </c>
      <c r="F903" s="128" t="s">
        <v>78</v>
      </c>
      <c r="G903" s="193">
        <v>2</v>
      </c>
      <c r="H903" s="128" t="s">
        <v>95</v>
      </c>
      <c r="I903" s="187">
        <f>C903*E903*G903</f>
        <v>0.64000000000000012</v>
      </c>
      <c r="J903" s="187" t="s">
        <v>42</v>
      </c>
      <c r="K903" s="129"/>
      <c r="L903" s="129"/>
      <c r="M903" s="129"/>
      <c r="N903" s="129"/>
      <c r="O903" s="358"/>
      <c r="P903" s="347"/>
      <c r="Q903" s="129"/>
      <c r="R903" s="129"/>
      <c r="S903" s="129"/>
      <c r="T903" s="129"/>
      <c r="U903" s="129"/>
      <c r="V903" s="129"/>
      <c r="W903" s="129"/>
      <c r="X903" s="129"/>
      <c r="Y903" s="129"/>
      <c r="Z903" s="129"/>
      <c r="AA903" s="129"/>
      <c r="AB903" s="129"/>
      <c r="AC903" s="129"/>
      <c r="AD903" s="129"/>
      <c r="AE903" s="129"/>
      <c r="AF903" s="129"/>
      <c r="AG903" s="129"/>
    </row>
    <row r="904" spans="1:33" ht="14.25" customHeight="1">
      <c r="A904" s="199"/>
      <c r="C904" s="193"/>
      <c r="E904" s="193"/>
      <c r="G904" s="193"/>
      <c r="I904" s="129"/>
      <c r="J904" s="187"/>
      <c r="K904" s="129"/>
      <c r="L904" s="129"/>
      <c r="M904" s="129"/>
      <c r="N904" s="129"/>
      <c r="O904" s="358"/>
      <c r="P904" s="347"/>
      <c r="Q904" s="129"/>
      <c r="R904" s="129"/>
      <c r="S904" s="129"/>
      <c r="T904" s="129"/>
      <c r="U904" s="129"/>
      <c r="V904" s="129"/>
      <c r="W904" s="129"/>
      <c r="X904" s="129"/>
      <c r="Y904" s="129"/>
      <c r="Z904" s="129"/>
      <c r="AA904" s="129"/>
      <c r="AB904" s="129"/>
      <c r="AC904" s="129"/>
      <c r="AD904" s="129"/>
      <c r="AE904" s="129"/>
      <c r="AF904" s="129"/>
      <c r="AG904" s="129"/>
    </row>
    <row r="905" spans="1:33" s="191" customFormat="1" ht="14.25" customHeight="1">
      <c r="A905" s="260"/>
      <c r="B905" s="191" t="s">
        <v>92</v>
      </c>
      <c r="C905" s="192">
        <f>SUM(I901:I903)</f>
        <v>5.92</v>
      </c>
      <c r="D905" s="191" t="s">
        <v>42</v>
      </c>
      <c r="E905" s="192"/>
      <c r="G905" s="192"/>
      <c r="H905" s="262"/>
      <c r="I905" s="261"/>
      <c r="J905" s="200"/>
      <c r="K905" s="261"/>
      <c r="L905" s="261"/>
      <c r="M905" s="261"/>
      <c r="N905" s="261"/>
      <c r="O905" s="370"/>
      <c r="P905" s="371"/>
    </row>
    <row r="906" spans="1:33" ht="15" customHeight="1">
      <c r="A906" s="190"/>
      <c r="C906" s="193"/>
      <c r="E906" s="193"/>
      <c r="G906" s="193"/>
      <c r="O906" s="339"/>
      <c r="Q906" s="353"/>
    </row>
    <row r="907" spans="1:33" ht="14.25" customHeight="1">
      <c r="A907" s="245" t="s">
        <v>419</v>
      </c>
      <c r="B907" s="544" t="s">
        <v>453</v>
      </c>
      <c r="C907" s="550"/>
      <c r="D907" s="550"/>
      <c r="E907" s="550"/>
      <c r="F907" s="550"/>
      <c r="G907" s="550"/>
      <c r="H907" s="550"/>
      <c r="I907" s="550"/>
      <c r="J907" s="550"/>
      <c r="K907" s="550"/>
      <c r="L907" s="550"/>
      <c r="M907" s="550"/>
      <c r="N907" s="550"/>
      <c r="O907" s="346">
        <v>102235</v>
      </c>
      <c r="P907" s="350"/>
    </row>
    <row r="908" spans="1:33" ht="15" customHeight="1">
      <c r="A908" s="190"/>
      <c r="C908" s="193"/>
      <c r="E908" s="193"/>
      <c r="G908" s="193"/>
      <c r="O908" s="339"/>
      <c r="Q908" s="353"/>
    </row>
    <row r="909" spans="1:33" ht="14.25" customHeight="1">
      <c r="A909" s="190"/>
      <c r="B909" s="191"/>
      <c r="C909" s="193" t="s">
        <v>75</v>
      </c>
      <c r="E909" s="193" t="s">
        <v>76</v>
      </c>
      <c r="G909" s="193" t="s">
        <v>87</v>
      </c>
      <c r="I909" s="128" t="s">
        <v>77</v>
      </c>
      <c r="O909" s="339"/>
      <c r="Q909" s="129"/>
      <c r="R909" s="129"/>
      <c r="S909" s="129"/>
      <c r="T909" s="129"/>
      <c r="U909" s="129"/>
      <c r="V909" s="129"/>
      <c r="W909" s="129"/>
      <c r="X909" s="129"/>
      <c r="Y909" s="129"/>
      <c r="Z909" s="129"/>
      <c r="AA909" s="129"/>
      <c r="AB909" s="129"/>
      <c r="AC909" s="129"/>
      <c r="AD909" s="129"/>
      <c r="AE909" s="129"/>
      <c r="AF909" s="129"/>
      <c r="AG909" s="129"/>
    </row>
    <row r="910" spans="1:33" ht="14.25" customHeight="1">
      <c r="A910" s="199"/>
      <c r="B910" s="128" t="s">
        <v>449</v>
      </c>
      <c r="C910" s="193">
        <v>1.45</v>
      </c>
      <c r="D910" s="128" t="s">
        <v>78</v>
      </c>
      <c r="E910" s="193">
        <v>1.8</v>
      </c>
      <c r="F910" s="128" t="s">
        <v>78</v>
      </c>
      <c r="G910" s="193">
        <v>2</v>
      </c>
      <c r="H910" s="128" t="s">
        <v>95</v>
      </c>
      <c r="I910" s="187">
        <f>C910*E910*G910</f>
        <v>5.22</v>
      </c>
      <c r="J910" s="187" t="s">
        <v>42</v>
      </c>
      <c r="K910" s="129"/>
      <c r="L910" s="129"/>
      <c r="M910" s="129"/>
      <c r="N910" s="129"/>
      <c r="O910" s="358"/>
      <c r="P910" s="347"/>
      <c r="Q910" s="129"/>
      <c r="R910" s="129"/>
      <c r="S910" s="129"/>
      <c r="T910" s="129"/>
      <c r="U910" s="129"/>
      <c r="V910" s="129"/>
      <c r="W910" s="129"/>
      <c r="X910" s="129"/>
      <c r="Y910" s="129"/>
      <c r="Z910" s="129"/>
      <c r="AA910" s="129"/>
      <c r="AB910" s="129"/>
      <c r="AC910" s="129"/>
      <c r="AD910" s="129"/>
      <c r="AE910" s="129"/>
      <c r="AF910" s="129"/>
      <c r="AG910" s="129"/>
    </row>
    <row r="911" spans="1:33" ht="14.25" customHeight="1">
      <c r="A911" s="199"/>
      <c r="C911" s="193"/>
      <c r="E911" s="193"/>
      <c r="G911" s="193"/>
      <c r="I911" s="129"/>
      <c r="J911" s="187"/>
      <c r="K911" s="129"/>
      <c r="L911" s="129"/>
      <c r="M911" s="129"/>
      <c r="N911" s="129"/>
      <c r="O911" s="358"/>
      <c r="P911" s="347"/>
      <c r="Q911" s="129"/>
      <c r="R911" s="129"/>
      <c r="S911" s="129"/>
      <c r="T911" s="129"/>
      <c r="U911" s="129"/>
      <c r="V911" s="129"/>
      <c r="W911" s="129"/>
      <c r="X911" s="129"/>
      <c r="Y911" s="129"/>
      <c r="Z911" s="129"/>
      <c r="AA911" s="129"/>
      <c r="AB911" s="129"/>
      <c r="AC911" s="129"/>
      <c r="AD911" s="129"/>
      <c r="AE911" s="129"/>
      <c r="AF911" s="129"/>
      <c r="AG911" s="129"/>
    </row>
    <row r="912" spans="1:33" s="191" customFormat="1" ht="14.25" customHeight="1">
      <c r="A912" s="260"/>
      <c r="B912" s="191" t="s">
        <v>92</v>
      </c>
      <c r="C912" s="192">
        <f>SUM(I910:I910)</f>
        <v>5.22</v>
      </c>
      <c r="D912" s="191" t="s">
        <v>42</v>
      </c>
      <c r="E912" s="192"/>
      <c r="G912" s="192"/>
      <c r="I912" s="261"/>
      <c r="J912" s="200"/>
      <c r="K912" s="261"/>
      <c r="L912" s="261"/>
      <c r="M912" s="261"/>
      <c r="N912" s="261"/>
      <c r="O912" s="370"/>
      <c r="P912" s="371"/>
    </row>
    <row r="913" spans="1:17" ht="15" customHeight="1">
      <c r="A913" s="190"/>
      <c r="C913" s="193"/>
      <c r="E913" s="193"/>
      <c r="G913" s="193"/>
      <c r="O913" s="339"/>
      <c r="Q913" s="353"/>
    </row>
    <row r="914" spans="1:17" ht="14.25" customHeight="1">
      <c r="A914" s="188" t="s">
        <v>238</v>
      </c>
      <c r="B914" s="551" t="s">
        <v>53</v>
      </c>
      <c r="C914" s="552"/>
      <c r="D914" s="552"/>
      <c r="E914" s="552"/>
      <c r="F914" s="552"/>
      <c r="G914" s="552"/>
      <c r="H914" s="552"/>
      <c r="I914" s="552"/>
      <c r="J914" s="552"/>
      <c r="K914" s="552"/>
      <c r="L914" s="552"/>
      <c r="M914" s="552"/>
      <c r="N914" s="552"/>
      <c r="O914" s="346"/>
      <c r="P914" s="347"/>
    </row>
    <row r="915" spans="1:17" ht="14.25" customHeight="1">
      <c r="A915" s="190"/>
      <c r="C915" s="193"/>
      <c r="E915" s="193"/>
      <c r="G915" s="193"/>
      <c r="O915" s="339"/>
    </row>
    <row r="916" spans="1:17" ht="14.25" customHeight="1">
      <c r="A916" s="245" t="s">
        <v>420</v>
      </c>
      <c r="B916" s="553" t="s">
        <v>148</v>
      </c>
      <c r="C916" s="550"/>
      <c r="D916" s="550"/>
      <c r="E916" s="550"/>
      <c r="F916" s="550"/>
      <c r="G916" s="550"/>
      <c r="H916" s="550"/>
      <c r="I916" s="550"/>
      <c r="J916" s="550"/>
      <c r="K916" s="550"/>
      <c r="L916" s="550"/>
      <c r="M916" s="550"/>
      <c r="N916" s="550"/>
      <c r="O916" s="252">
        <v>94569</v>
      </c>
      <c r="P916" s="350"/>
    </row>
    <row r="917" spans="1:17" ht="15" customHeight="1">
      <c r="A917" s="190"/>
      <c r="C917" s="193"/>
      <c r="E917" s="193"/>
      <c r="G917" s="193"/>
      <c r="O917" s="339"/>
      <c r="Q917" s="353"/>
    </row>
    <row r="918" spans="1:17" s="189" customFormat="1" ht="14.25">
      <c r="A918" s="190"/>
      <c r="C918" s="193" t="s">
        <v>75</v>
      </c>
      <c r="D918" s="128"/>
      <c r="E918" s="193" t="s">
        <v>76</v>
      </c>
      <c r="F918" s="128"/>
      <c r="G918" s="193" t="s">
        <v>87</v>
      </c>
      <c r="H918" s="128"/>
      <c r="I918" s="128" t="s">
        <v>77</v>
      </c>
      <c r="J918" s="128"/>
      <c r="K918" s="128"/>
      <c r="L918" s="128"/>
      <c r="M918" s="128"/>
      <c r="N918" s="128"/>
      <c r="O918" s="339"/>
    </row>
    <row r="919" spans="1:17" ht="14.25" customHeight="1">
      <c r="A919" s="190"/>
      <c r="B919" s="128" t="s">
        <v>1153</v>
      </c>
      <c r="C919" s="193">
        <v>1.4</v>
      </c>
      <c r="D919" s="128" t="s">
        <v>78</v>
      </c>
      <c r="E919" s="193">
        <v>2</v>
      </c>
      <c r="F919" s="128" t="s">
        <v>78</v>
      </c>
      <c r="G919" s="193">
        <v>1</v>
      </c>
      <c r="H919" s="128" t="s">
        <v>95</v>
      </c>
      <c r="I919" s="193">
        <f t="shared" ref="I919:I925" si="8">C919*E919*G919</f>
        <v>2.8</v>
      </c>
      <c r="J919" s="128" t="s">
        <v>42</v>
      </c>
      <c r="K919" s="193"/>
      <c r="O919" s="272"/>
      <c r="P919" s="128"/>
    </row>
    <row r="920" spans="1:17" ht="14.25">
      <c r="A920" s="190"/>
      <c r="B920" s="128" t="s">
        <v>1154</v>
      </c>
      <c r="C920" s="193">
        <v>1.1000000000000001</v>
      </c>
      <c r="D920" s="128" t="s">
        <v>78</v>
      </c>
      <c r="E920" s="193">
        <v>2</v>
      </c>
      <c r="F920" s="128" t="s">
        <v>78</v>
      </c>
      <c r="G920" s="193">
        <v>1</v>
      </c>
      <c r="H920" s="128" t="s">
        <v>95</v>
      </c>
      <c r="I920" s="193">
        <f t="shared" si="8"/>
        <v>2.2000000000000002</v>
      </c>
      <c r="J920" s="128" t="s">
        <v>42</v>
      </c>
      <c r="O920" s="272"/>
      <c r="P920" s="128"/>
    </row>
    <row r="921" spans="1:17" ht="14.25" customHeight="1">
      <c r="A921" s="190"/>
      <c r="B921" s="271" t="s">
        <v>1161</v>
      </c>
      <c r="C921" s="193">
        <v>2.1</v>
      </c>
      <c r="D921" s="128" t="s">
        <v>78</v>
      </c>
      <c r="E921" s="193">
        <v>0.75</v>
      </c>
      <c r="F921" s="128" t="s">
        <v>78</v>
      </c>
      <c r="G921" s="193">
        <v>9</v>
      </c>
      <c r="H921" s="128" t="s">
        <v>95</v>
      </c>
      <c r="I921" s="193">
        <f t="shared" si="8"/>
        <v>14.175000000000001</v>
      </c>
      <c r="J921" s="128" t="s">
        <v>42</v>
      </c>
      <c r="O921" s="272"/>
      <c r="P921" s="128"/>
    </row>
    <row r="922" spans="1:17" ht="14.25" customHeight="1">
      <c r="A922" s="190"/>
      <c r="B922" s="271" t="s">
        <v>1162</v>
      </c>
      <c r="C922" s="193">
        <v>0.7</v>
      </c>
      <c r="D922" s="128" t="s">
        <v>78</v>
      </c>
      <c r="E922" s="193">
        <v>0.75</v>
      </c>
      <c r="F922" s="128" t="s">
        <v>78</v>
      </c>
      <c r="G922" s="193">
        <v>2</v>
      </c>
      <c r="H922" s="128" t="s">
        <v>95</v>
      </c>
      <c r="I922" s="193">
        <f t="shared" si="8"/>
        <v>1.0499999999999998</v>
      </c>
      <c r="J922" s="128" t="s">
        <v>42</v>
      </c>
      <c r="O922" s="272"/>
      <c r="P922" s="128"/>
    </row>
    <row r="923" spans="1:17" ht="14.25" customHeight="1">
      <c r="A923" s="190"/>
      <c r="B923" s="271" t="s">
        <v>1163</v>
      </c>
      <c r="C923" s="193">
        <v>1.4</v>
      </c>
      <c r="D923" s="128" t="s">
        <v>78</v>
      </c>
      <c r="E923" s="193">
        <v>0.75</v>
      </c>
      <c r="F923" s="128" t="s">
        <v>78</v>
      </c>
      <c r="G923" s="193">
        <v>3</v>
      </c>
      <c r="H923" s="128" t="s">
        <v>95</v>
      </c>
      <c r="I923" s="193">
        <f t="shared" si="8"/>
        <v>3.1499999999999995</v>
      </c>
      <c r="J923" s="128" t="s">
        <v>42</v>
      </c>
      <c r="O923" s="272"/>
      <c r="P923" s="128"/>
    </row>
    <row r="924" spans="1:17" ht="14.25">
      <c r="A924" s="190"/>
      <c r="B924" s="271" t="s">
        <v>224</v>
      </c>
      <c r="C924" s="193">
        <v>4.2</v>
      </c>
      <c r="D924" s="128" t="s">
        <v>78</v>
      </c>
      <c r="E924" s="193">
        <v>0.52</v>
      </c>
      <c r="F924" s="128" t="s">
        <v>78</v>
      </c>
      <c r="G924" s="193">
        <v>5</v>
      </c>
      <c r="H924" s="128" t="s">
        <v>95</v>
      </c>
      <c r="I924" s="193">
        <f t="shared" si="8"/>
        <v>10.920000000000002</v>
      </c>
      <c r="J924" s="128" t="s">
        <v>42</v>
      </c>
      <c r="O924" s="272"/>
      <c r="P924" s="128"/>
    </row>
    <row r="925" spans="1:17" ht="15.75" customHeight="1">
      <c r="A925" s="190"/>
      <c r="B925" s="271" t="s">
        <v>149</v>
      </c>
      <c r="C925" s="193">
        <v>5.6</v>
      </c>
      <c r="D925" s="128" t="s">
        <v>78</v>
      </c>
      <c r="E925" s="193">
        <v>1</v>
      </c>
      <c r="F925" s="128" t="s">
        <v>78</v>
      </c>
      <c r="G925" s="193">
        <v>6</v>
      </c>
      <c r="H925" s="128" t="s">
        <v>95</v>
      </c>
      <c r="I925" s="193">
        <f t="shared" si="8"/>
        <v>33.599999999999994</v>
      </c>
      <c r="J925" s="128" t="s">
        <v>42</v>
      </c>
      <c r="O925" s="272"/>
      <c r="P925" s="128"/>
    </row>
    <row r="926" spans="1:17" ht="14.25" customHeight="1">
      <c r="A926" s="190"/>
      <c r="C926" s="250"/>
      <c r="D926" s="189"/>
      <c r="E926" s="250"/>
      <c r="F926" s="189"/>
      <c r="G926" s="250"/>
      <c r="H926" s="189"/>
      <c r="I926" s="250"/>
      <c r="J926" s="189"/>
      <c r="O926" s="339"/>
    </row>
    <row r="927" spans="1:17" ht="14.25" customHeight="1">
      <c r="A927" s="190"/>
      <c r="B927" s="191" t="s">
        <v>92</v>
      </c>
      <c r="C927" s="192">
        <f>SUM(I919:I925)</f>
        <v>67.894999999999996</v>
      </c>
      <c r="D927" s="191" t="s">
        <v>42</v>
      </c>
      <c r="E927" s="193"/>
      <c r="G927" s="193"/>
      <c r="O927" s="339"/>
    </row>
    <row r="928" spans="1:17" ht="14.25" customHeight="1">
      <c r="A928" s="190"/>
      <c r="C928" s="192"/>
      <c r="D928" s="191"/>
      <c r="E928" s="193"/>
      <c r="G928" s="193"/>
      <c r="O928" s="339"/>
    </row>
    <row r="929" spans="1:17">
      <c r="A929" s="245" t="s">
        <v>421</v>
      </c>
      <c r="B929" s="544" t="s">
        <v>388</v>
      </c>
      <c r="C929" s="545"/>
      <c r="D929" s="545"/>
      <c r="E929" s="545"/>
      <c r="F929" s="545"/>
      <c r="G929" s="545"/>
      <c r="H929" s="545"/>
      <c r="I929" s="545"/>
      <c r="J929" s="545"/>
      <c r="K929" s="545"/>
      <c r="L929" s="545"/>
      <c r="M929" s="545"/>
      <c r="N929" s="545"/>
      <c r="O929" s="346">
        <v>100674</v>
      </c>
      <c r="P929" s="350"/>
    </row>
    <row r="930" spans="1:17" ht="15" customHeight="1">
      <c r="A930" s="194"/>
      <c r="B930" s="246"/>
      <c r="C930" s="246"/>
      <c r="D930" s="246"/>
      <c r="E930" s="246"/>
      <c r="F930" s="246"/>
      <c r="G930" s="246"/>
      <c r="H930" s="246"/>
      <c r="I930" s="246"/>
      <c r="J930" s="246"/>
      <c r="K930" s="246"/>
      <c r="L930" s="246"/>
      <c r="M930" s="246"/>
      <c r="N930" s="246"/>
      <c r="O930" s="346"/>
      <c r="P930" s="350"/>
      <c r="Q930" s="353"/>
    </row>
    <row r="931" spans="1:17" s="189" customFormat="1" ht="14.25">
      <c r="A931" s="190"/>
      <c r="C931" s="193" t="s">
        <v>75</v>
      </c>
      <c r="D931" s="128"/>
      <c r="E931" s="193" t="s">
        <v>76</v>
      </c>
      <c r="F931" s="128"/>
      <c r="G931" s="193" t="s">
        <v>87</v>
      </c>
      <c r="H931" s="128"/>
      <c r="I931" s="128" t="s">
        <v>77</v>
      </c>
      <c r="J931" s="128"/>
      <c r="K931" s="128"/>
      <c r="L931" s="128"/>
      <c r="M931" s="128"/>
      <c r="N931" s="128"/>
      <c r="O931" s="339"/>
    </row>
    <row r="932" spans="1:17" ht="14.25">
      <c r="A932" s="190"/>
      <c r="B932" s="128" t="s">
        <v>1155</v>
      </c>
      <c r="C932" s="193">
        <v>1</v>
      </c>
      <c r="D932" s="128" t="s">
        <v>78</v>
      </c>
      <c r="E932" s="193">
        <v>1.4</v>
      </c>
      <c r="F932" s="128" t="s">
        <v>78</v>
      </c>
      <c r="G932" s="193">
        <v>1</v>
      </c>
      <c r="H932" s="128" t="s">
        <v>95</v>
      </c>
      <c r="I932" s="193">
        <f t="shared" ref="I932:I933" si="9">C932*E932*G932</f>
        <v>1.4</v>
      </c>
      <c r="J932" s="128" t="s">
        <v>42</v>
      </c>
      <c r="K932" s="193"/>
      <c r="O932" s="272"/>
      <c r="P932" s="128"/>
    </row>
    <row r="933" spans="1:17" ht="14.25">
      <c r="A933" s="190"/>
      <c r="B933" s="128" t="s">
        <v>1156</v>
      </c>
      <c r="C933" s="193">
        <v>1</v>
      </c>
      <c r="D933" s="128" t="s">
        <v>78</v>
      </c>
      <c r="E933" s="193">
        <v>1.2</v>
      </c>
      <c r="F933" s="128" t="s">
        <v>78</v>
      </c>
      <c r="G933" s="193">
        <v>1</v>
      </c>
      <c r="H933" s="128" t="s">
        <v>95</v>
      </c>
      <c r="I933" s="193">
        <f t="shared" si="9"/>
        <v>1.2</v>
      </c>
      <c r="J933" s="128" t="s">
        <v>42</v>
      </c>
      <c r="K933" s="193"/>
      <c r="O933" s="272"/>
      <c r="P933" s="128"/>
    </row>
    <row r="934" spans="1:17" ht="14.25" customHeight="1">
      <c r="A934" s="190"/>
      <c r="C934" s="192"/>
      <c r="D934" s="191"/>
      <c r="E934" s="193"/>
      <c r="G934" s="193"/>
      <c r="I934" s="193"/>
      <c r="O934" s="339"/>
    </row>
    <row r="935" spans="1:17" ht="14.25" customHeight="1">
      <c r="A935" s="190"/>
      <c r="B935" s="191" t="s">
        <v>92</v>
      </c>
      <c r="C935" s="192">
        <f>SUM(I932:I933)</f>
        <v>2.5999999999999996</v>
      </c>
      <c r="D935" s="191" t="s">
        <v>42</v>
      </c>
      <c r="E935" s="193"/>
      <c r="G935" s="193"/>
      <c r="O935" s="339"/>
    </row>
    <row r="936" spans="1:17" ht="14.25" customHeight="1">
      <c r="A936" s="190"/>
      <c r="C936" s="192"/>
      <c r="D936" s="191"/>
      <c r="E936" s="193"/>
      <c r="G936" s="193"/>
      <c r="O936" s="339"/>
    </row>
    <row r="937" spans="1:17" ht="33" customHeight="1">
      <c r="A937" s="245" t="s">
        <v>422</v>
      </c>
      <c r="B937" s="544" t="s">
        <v>1157</v>
      </c>
      <c r="C937" s="545"/>
      <c r="D937" s="545"/>
      <c r="E937" s="545"/>
      <c r="F937" s="545"/>
      <c r="G937" s="545"/>
      <c r="H937" s="545"/>
      <c r="I937" s="545"/>
      <c r="J937" s="545"/>
      <c r="K937" s="545"/>
      <c r="L937" s="545"/>
      <c r="M937" s="545"/>
      <c r="N937" s="545"/>
      <c r="O937" s="346">
        <v>94570</v>
      </c>
      <c r="P937" s="350"/>
    </row>
    <row r="938" spans="1:17" ht="15" customHeight="1">
      <c r="A938" s="194"/>
      <c r="B938" s="246"/>
      <c r="C938" s="246"/>
      <c r="D938" s="246"/>
      <c r="E938" s="246"/>
      <c r="F938" s="246"/>
      <c r="G938" s="246"/>
      <c r="H938" s="246"/>
      <c r="I938" s="246"/>
      <c r="J938" s="246"/>
      <c r="K938" s="246"/>
      <c r="L938" s="246"/>
      <c r="M938" s="246"/>
      <c r="N938" s="246"/>
      <c r="O938" s="346"/>
      <c r="P938" s="350"/>
      <c r="Q938" s="353"/>
    </row>
    <row r="939" spans="1:17" s="189" customFormat="1" ht="14.25">
      <c r="A939" s="190"/>
      <c r="C939" s="193" t="s">
        <v>75</v>
      </c>
      <c r="D939" s="128"/>
      <c r="E939" s="193" t="s">
        <v>76</v>
      </c>
      <c r="F939" s="128"/>
      <c r="G939" s="193" t="s">
        <v>87</v>
      </c>
      <c r="H939" s="128"/>
      <c r="I939" s="128" t="s">
        <v>77</v>
      </c>
      <c r="J939" s="128"/>
      <c r="K939" s="128"/>
      <c r="L939" s="128"/>
      <c r="M939" s="128"/>
      <c r="N939" s="128"/>
      <c r="O939" s="339"/>
    </row>
    <row r="940" spans="1:17" ht="14.25">
      <c r="A940" s="190"/>
      <c r="B940" s="128" t="s">
        <v>1158</v>
      </c>
      <c r="C940" s="193">
        <v>1</v>
      </c>
      <c r="D940" s="128" t="s">
        <v>78</v>
      </c>
      <c r="E940" s="193">
        <v>1.5</v>
      </c>
      <c r="F940" s="128" t="s">
        <v>78</v>
      </c>
      <c r="G940" s="193">
        <v>1</v>
      </c>
      <c r="H940" s="128" t="s">
        <v>95</v>
      </c>
      <c r="I940" s="193">
        <f t="shared" ref="I940:I941" si="10">C940*E940*G940</f>
        <v>1.5</v>
      </c>
      <c r="J940" s="128" t="s">
        <v>42</v>
      </c>
      <c r="K940" s="193"/>
      <c r="O940" s="272"/>
      <c r="P940" s="128"/>
    </row>
    <row r="941" spans="1:17" ht="14.25">
      <c r="A941" s="190"/>
      <c r="B941" s="128" t="s">
        <v>1159</v>
      </c>
      <c r="C941" s="193">
        <v>1.4</v>
      </c>
      <c r="D941" s="128" t="s">
        <v>78</v>
      </c>
      <c r="E941" s="193">
        <v>1.5</v>
      </c>
      <c r="F941" s="128" t="s">
        <v>78</v>
      </c>
      <c r="G941" s="193">
        <v>4</v>
      </c>
      <c r="H941" s="128" t="s">
        <v>95</v>
      </c>
      <c r="I941" s="193">
        <f t="shared" si="10"/>
        <v>8.3999999999999986</v>
      </c>
      <c r="J941" s="128" t="s">
        <v>42</v>
      </c>
      <c r="K941" s="193"/>
      <c r="O941" s="272"/>
      <c r="P941" s="128"/>
    </row>
    <row r="942" spans="1:17" ht="14.25" customHeight="1">
      <c r="A942" s="190"/>
      <c r="B942" s="128" t="s">
        <v>1160</v>
      </c>
      <c r="C942" s="193">
        <v>1.2</v>
      </c>
      <c r="D942" s="128" t="s">
        <v>78</v>
      </c>
      <c r="E942" s="193">
        <v>0.5</v>
      </c>
      <c r="F942" s="128" t="s">
        <v>78</v>
      </c>
      <c r="G942" s="193">
        <v>2</v>
      </c>
      <c r="H942" s="128" t="s">
        <v>95</v>
      </c>
      <c r="I942" s="193">
        <f>C942*E942*G942</f>
        <v>1.2</v>
      </c>
      <c r="J942" s="128" t="s">
        <v>42</v>
      </c>
      <c r="K942" s="193"/>
      <c r="O942" s="272"/>
      <c r="P942" s="128"/>
    </row>
    <row r="943" spans="1:17" ht="14.25" customHeight="1">
      <c r="A943" s="190"/>
      <c r="C943" s="192"/>
      <c r="D943" s="191"/>
      <c r="E943" s="193"/>
      <c r="G943" s="193"/>
      <c r="I943" s="193"/>
      <c r="O943" s="339"/>
    </row>
    <row r="944" spans="1:17" ht="14.25" customHeight="1">
      <c r="A944" s="190"/>
      <c r="B944" s="191" t="s">
        <v>92</v>
      </c>
      <c r="C944" s="192">
        <f>SUM(I940:I942)</f>
        <v>11.099999999999998</v>
      </c>
      <c r="D944" s="191" t="s">
        <v>42</v>
      </c>
      <c r="E944" s="193"/>
      <c r="G944" s="193"/>
      <c r="O944" s="339"/>
    </row>
    <row r="945" spans="1:17" ht="14.25" customHeight="1">
      <c r="A945" s="190"/>
      <c r="C945" s="192"/>
      <c r="D945" s="191"/>
      <c r="E945" s="193"/>
      <c r="G945" s="193"/>
      <c r="O945" s="339"/>
    </row>
    <row r="946" spans="1:17" ht="14.25" customHeight="1">
      <c r="A946" s="245" t="s">
        <v>1165</v>
      </c>
      <c r="B946" s="544" t="s">
        <v>274</v>
      </c>
      <c r="C946" s="544"/>
      <c r="D946" s="544"/>
      <c r="E946" s="544"/>
      <c r="F946" s="544"/>
      <c r="G946" s="544"/>
      <c r="H946" s="544"/>
      <c r="I946" s="544"/>
      <c r="J946" s="544"/>
      <c r="K946" s="544"/>
      <c r="L946" s="544"/>
      <c r="M946" s="544"/>
      <c r="N946" s="544"/>
      <c r="O946" s="346" t="s">
        <v>1019</v>
      </c>
      <c r="P946" s="350" t="s">
        <v>74</v>
      </c>
    </row>
    <row r="947" spans="1:17" ht="15" customHeight="1">
      <c r="A947" s="194"/>
      <c r="B947" s="246"/>
      <c r="C947" s="246"/>
      <c r="D947" s="246"/>
      <c r="E947" s="246"/>
      <c r="F947" s="246"/>
      <c r="G947" s="246"/>
      <c r="H947" s="246"/>
      <c r="I947" s="246"/>
      <c r="J947" s="246"/>
      <c r="K947" s="246"/>
      <c r="L947" s="246"/>
      <c r="M947" s="246"/>
      <c r="N947" s="246"/>
      <c r="O947" s="346"/>
      <c r="P947" s="350"/>
      <c r="Q947" s="353"/>
    </row>
    <row r="948" spans="1:17" ht="14.25">
      <c r="A948" s="190"/>
      <c r="C948" s="193" t="s">
        <v>75</v>
      </c>
      <c r="E948" s="193" t="s">
        <v>76</v>
      </c>
      <c r="G948" s="193" t="s">
        <v>87</v>
      </c>
      <c r="I948" s="128" t="s">
        <v>77</v>
      </c>
      <c r="O948" s="339"/>
    </row>
    <row r="949" spans="1:17" ht="14.25">
      <c r="A949" s="190"/>
      <c r="B949" s="128" t="s">
        <v>1164</v>
      </c>
      <c r="C949" s="193">
        <v>2.1</v>
      </c>
      <c r="D949" s="128" t="s">
        <v>78</v>
      </c>
      <c r="E949" s="193">
        <v>0.75</v>
      </c>
      <c r="F949" s="128" t="s">
        <v>78</v>
      </c>
      <c r="G949" s="193">
        <v>3</v>
      </c>
      <c r="H949" s="128" t="s">
        <v>95</v>
      </c>
      <c r="I949" s="193">
        <f t="shared" ref="I949" si="11">C949*E949*G949</f>
        <v>4.7250000000000005</v>
      </c>
      <c r="J949" s="128" t="s">
        <v>42</v>
      </c>
      <c r="K949" s="193"/>
      <c r="O949" s="272"/>
      <c r="P949" s="128"/>
    </row>
    <row r="950" spans="1:17" ht="14.25" customHeight="1">
      <c r="A950" s="190"/>
      <c r="B950" s="258"/>
      <c r="C950" s="250"/>
      <c r="D950" s="189"/>
      <c r="E950" s="250"/>
      <c r="F950" s="189"/>
      <c r="G950" s="193"/>
      <c r="H950" s="189"/>
      <c r="I950" s="250"/>
      <c r="O950" s="339"/>
    </row>
    <row r="951" spans="1:17" ht="14.25" customHeight="1">
      <c r="A951" s="190"/>
      <c r="B951" s="191" t="s">
        <v>92</v>
      </c>
      <c r="C951" s="192">
        <f>SUM(I949:I949)</f>
        <v>4.7250000000000005</v>
      </c>
      <c r="D951" s="191" t="s">
        <v>42</v>
      </c>
      <c r="E951" s="193"/>
      <c r="G951" s="193"/>
      <c r="O951" s="339"/>
    </row>
    <row r="952" spans="1:17" ht="14.25" customHeight="1">
      <c r="A952" s="190"/>
      <c r="B952" s="191"/>
      <c r="C952" s="192"/>
      <c r="D952" s="191"/>
      <c r="E952" s="193"/>
      <c r="G952" s="193"/>
      <c r="O952" s="339"/>
      <c r="Q952" s="129"/>
    </row>
    <row r="953" spans="1:17" ht="14.25" customHeight="1">
      <c r="A953" s="188" t="s">
        <v>239</v>
      </c>
      <c r="B953" s="551" t="s">
        <v>1262</v>
      </c>
      <c r="C953" s="552"/>
      <c r="D953" s="552"/>
      <c r="E953" s="552"/>
      <c r="F953" s="552"/>
      <c r="G953" s="552"/>
      <c r="H953" s="552"/>
      <c r="I953" s="552"/>
      <c r="J953" s="552"/>
      <c r="K953" s="552"/>
      <c r="L953" s="552"/>
      <c r="M953" s="552"/>
      <c r="N953" s="552"/>
      <c r="O953" s="346"/>
      <c r="P953" s="347"/>
    </row>
    <row r="954" spans="1:17" ht="14.25">
      <c r="A954" s="190"/>
      <c r="C954" s="193"/>
      <c r="E954" s="193"/>
      <c r="G954" s="193"/>
      <c r="O954" s="339"/>
    </row>
    <row r="955" spans="1:17" ht="16.5" customHeight="1">
      <c r="A955" s="245" t="s">
        <v>434</v>
      </c>
      <c r="B955" s="544" t="s">
        <v>150</v>
      </c>
      <c r="C955" s="550"/>
      <c r="D955" s="550"/>
      <c r="E955" s="550"/>
      <c r="F955" s="550"/>
      <c r="G955" s="550"/>
      <c r="H955" s="550"/>
      <c r="I955" s="550"/>
      <c r="J955" s="550"/>
      <c r="K955" s="550"/>
      <c r="L955" s="550"/>
      <c r="M955" s="550"/>
      <c r="N955" s="550"/>
      <c r="O955" s="346">
        <v>91341</v>
      </c>
      <c r="P955" s="350"/>
    </row>
    <row r="956" spans="1:17" ht="15" customHeight="1">
      <c r="A956" s="194"/>
      <c r="B956" s="246"/>
      <c r="C956" s="246"/>
      <c r="D956" s="246"/>
      <c r="E956" s="246"/>
      <c r="F956" s="246"/>
      <c r="G956" s="246"/>
      <c r="H956" s="246"/>
      <c r="I956" s="246"/>
      <c r="J956" s="246"/>
      <c r="K956" s="246"/>
      <c r="L956" s="246"/>
      <c r="M956" s="246"/>
      <c r="N956" s="246"/>
      <c r="O956" s="346"/>
      <c r="P956" s="350"/>
      <c r="Q956" s="353"/>
    </row>
    <row r="957" spans="1:17">
      <c r="A957" s="194"/>
      <c r="C957" s="264" t="s">
        <v>75</v>
      </c>
      <c r="D957" s="264"/>
      <c r="E957" s="264" t="s">
        <v>76</v>
      </c>
      <c r="F957" s="264"/>
      <c r="G957" s="264" t="s">
        <v>87</v>
      </c>
      <c r="H957" s="264"/>
      <c r="I957" s="264" t="s">
        <v>77</v>
      </c>
      <c r="J957" s="264"/>
      <c r="K957" s="194"/>
      <c r="L957" s="194"/>
      <c r="M957" s="194"/>
      <c r="N957" s="194"/>
      <c r="O957" s="257"/>
      <c r="P957" s="353"/>
    </row>
    <row r="958" spans="1:17" ht="14.25" customHeight="1">
      <c r="A958" s="190"/>
      <c r="B958" s="271" t="s">
        <v>222</v>
      </c>
      <c r="C958" s="193">
        <v>0.8</v>
      </c>
      <c r="D958" s="128" t="s">
        <v>78</v>
      </c>
      <c r="E958" s="193">
        <v>2.1</v>
      </c>
      <c r="F958" s="128" t="s">
        <v>78</v>
      </c>
      <c r="G958" s="193">
        <v>2</v>
      </c>
      <c r="H958" s="128" t="s">
        <v>95</v>
      </c>
      <c r="I958" s="193">
        <f t="shared" ref="I958:I959" si="12">C958*E958*G958</f>
        <v>3.3600000000000003</v>
      </c>
      <c r="J958" s="128" t="s">
        <v>42</v>
      </c>
      <c r="O958" s="272"/>
      <c r="P958" s="128"/>
    </row>
    <row r="959" spans="1:17" ht="14.25" customHeight="1">
      <c r="A959" s="190"/>
      <c r="B959" s="271" t="s">
        <v>223</v>
      </c>
      <c r="C959" s="193">
        <v>1.19</v>
      </c>
      <c r="D959" s="128" t="s">
        <v>78</v>
      </c>
      <c r="E959" s="193">
        <v>1.7</v>
      </c>
      <c r="F959" s="128" t="s">
        <v>78</v>
      </c>
      <c r="G959" s="193">
        <v>1</v>
      </c>
      <c r="H959" s="128" t="s">
        <v>95</v>
      </c>
      <c r="I959" s="193">
        <f t="shared" si="12"/>
        <v>2.0229999999999997</v>
      </c>
      <c r="J959" s="128" t="s">
        <v>42</v>
      </c>
      <c r="O959" s="272"/>
      <c r="P959" s="128"/>
    </row>
    <row r="960" spans="1:17" ht="14.25" customHeight="1">
      <c r="A960" s="190"/>
      <c r="C960" s="192"/>
      <c r="D960" s="191"/>
      <c r="E960" s="193"/>
      <c r="G960" s="193"/>
      <c r="I960" s="193"/>
      <c r="O960" s="339"/>
    </row>
    <row r="961" spans="1:33" ht="14.25" customHeight="1">
      <c r="A961" s="190"/>
      <c r="B961" s="191" t="s">
        <v>92</v>
      </c>
      <c r="C961" s="192">
        <f>SUM(I958:I959)</f>
        <v>5.383</v>
      </c>
      <c r="D961" s="191" t="s">
        <v>42</v>
      </c>
      <c r="E961" s="193"/>
      <c r="G961" s="193"/>
      <c r="O961" s="339"/>
    </row>
    <row r="962" spans="1:33" ht="14.25" customHeight="1">
      <c r="A962" s="190"/>
      <c r="C962" s="192"/>
      <c r="D962" s="191"/>
      <c r="E962" s="193"/>
      <c r="G962" s="193"/>
      <c r="O962" s="339"/>
    </row>
    <row r="963" spans="1:33">
      <c r="A963" s="245" t="s">
        <v>435</v>
      </c>
      <c r="B963" s="553" t="s">
        <v>280</v>
      </c>
      <c r="C963" s="550"/>
      <c r="D963" s="550"/>
      <c r="E963" s="550"/>
      <c r="F963" s="550"/>
      <c r="G963" s="550"/>
      <c r="H963" s="550"/>
      <c r="I963" s="550"/>
      <c r="J963" s="550"/>
      <c r="K963" s="550"/>
      <c r="L963" s="550"/>
      <c r="M963" s="550"/>
      <c r="N963" s="550"/>
      <c r="O963" s="346">
        <v>100701</v>
      </c>
      <c r="P963" s="350"/>
    </row>
    <row r="964" spans="1:33" ht="15" customHeight="1">
      <c r="A964" s="190"/>
      <c r="C964" s="193"/>
      <c r="E964" s="193"/>
      <c r="G964" s="193"/>
      <c r="P964" s="339"/>
      <c r="Q964" s="353"/>
    </row>
    <row r="965" spans="1:33" ht="14.25" customHeight="1">
      <c r="A965" s="190"/>
      <c r="C965" s="193" t="s">
        <v>75</v>
      </c>
      <c r="E965" s="193" t="s">
        <v>76</v>
      </c>
      <c r="G965" s="193" t="s">
        <v>87</v>
      </c>
      <c r="I965" s="128" t="s">
        <v>77</v>
      </c>
      <c r="P965" s="339"/>
      <c r="R965" s="129"/>
      <c r="S965" s="129"/>
      <c r="T965" s="129"/>
      <c r="U965" s="129"/>
      <c r="V965" s="129"/>
      <c r="W965" s="129"/>
      <c r="X965" s="129"/>
      <c r="Y965" s="129"/>
      <c r="Z965" s="129"/>
      <c r="AA965" s="129"/>
      <c r="AB965" s="129"/>
      <c r="AC965" s="129"/>
      <c r="AD965" s="129"/>
      <c r="AE965" s="129"/>
      <c r="AF965" s="129"/>
      <c r="AG965" s="129"/>
    </row>
    <row r="966" spans="1:33" ht="14.25" customHeight="1">
      <c r="A966" s="190"/>
      <c r="B966" s="128" t="s">
        <v>473</v>
      </c>
      <c r="C966" s="193">
        <v>2</v>
      </c>
      <c r="D966" s="128" t="s">
        <v>78</v>
      </c>
      <c r="E966" s="193">
        <v>2.1</v>
      </c>
      <c r="F966" s="128" t="s">
        <v>78</v>
      </c>
      <c r="G966" s="193">
        <v>3</v>
      </c>
      <c r="H966" s="128" t="s">
        <v>95</v>
      </c>
      <c r="I966" s="193">
        <f>C966*E966*G966</f>
        <v>12.600000000000001</v>
      </c>
      <c r="J966" s="128" t="s">
        <v>42</v>
      </c>
      <c r="P966" s="339"/>
      <c r="R966" s="129"/>
      <c r="S966" s="129"/>
      <c r="T966" s="129"/>
      <c r="U966" s="129"/>
      <c r="V966" s="129"/>
      <c r="W966" s="129"/>
      <c r="X966" s="129"/>
      <c r="Y966" s="129"/>
      <c r="Z966" s="129"/>
      <c r="AA966" s="129"/>
      <c r="AB966" s="129"/>
      <c r="AC966" s="129"/>
      <c r="AD966" s="129"/>
      <c r="AE966" s="129"/>
      <c r="AF966" s="129"/>
      <c r="AG966" s="129"/>
    </row>
    <row r="967" spans="1:33" ht="14.25" customHeight="1">
      <c r="A967" s="190"/>
      <c r="B967" s="128" t="s">
        <v>474</v>
      </c>
      <c r="C967" s="193">
        <v>1.2</v>
      </c>
      <c r="D967" s="128" t="s">
        <v>78</v>
      </c>
      <c r="E967" s="193">
        <v>2.1</v>
      </c>
      <c r="F967" s="128" t="s">
        <v>78</v>
      </c>
      <c r="G967" s="193">
        <v>1</v>
      </c>
      <c r="H967" s="128" t="s">
        <v>95</v>
      </c>
      <c r="I967" s="193">
        <f t="shared" ref="I967:I970" si="13">C967*E967*G967</f>
        <v>2.52</v>
      </c>
      <c r="J967" s="128" t="s">
        <v>42</v>
      </c>
      <c r="P967" s="339"/>
    </row>
    <row r="968" spans="1:33" ht="14.25" customHeight="1">
      <c r="A968" s="190"/>
      <c r="B968" s="128" t="s">
        <v>476</v>
      </c>
      <c r="C968" s="193">
        <v>1.08</v>
      </c>
      <c r="D968" s="128" t="s">
        <v>78</v>
      </c>
      <c r="E968" s="193">
        <v>2</v>
      </c>
      <c r="F968" s="128" t="s">
        <v>78</v>
      </c>
      <c r="G968" s="193">
        <v>1</v>
      </c>
      <c r="H968" s="128" t="s">
        <v>95</v>
      </c>
      <c r="I968" s="193">
        <f>C968*E968*G968</f>
        <v>2.16</v>
      </c>
      <c r="J968" s="128" t="s">
        <v>42</v>
      </c>
      <c r="P968" s="339"/>
    </row>
    <row r="969" spans="1:33" ht="14.25" customHeight="1">
      <c r="A969" s="190"/>
      <c r="B969" s="128" t="s">
        <v>475</v>
      </c>
      <c r="C969" s="193">
        <v>1.2</v>
      </c>
      <c r="D969" s="128" t="s">
        <v>78</v>
      </c>
      <c r="E969" s="193">
        <v>1.9</v>
      </c>
      <c r="F969" s="128" t="s">
        <v>78</v>
      </c>
      <c r="G969" s="193">
        <v>1</v>
      </c>
      <c r="H969" s="128" t="s">
        <v>95</v>
      </c>
      <c r="I969" s="193">
        <f>C969*E969*G969</f>
        <v>2.2799999999999998</v>
      </c>
      <c r="J969" s="128" t="s">
        <v>42</v>
      </c>
      <c r="P969" s="339"/>
    </row>
    <row r="970" spans="1:33" ht="14.25" customHeight="1">
      <c r="A970" s="190"/>
      <c r="B970" s="128" t="s">
        <v>477</v>
      </c>
      <c r="C970" s="193">
        <v>1.4</v>
      </c>
      <c r="D970" s="128" t="s">
        <v>78</v>
      </c>
      <c r="E970" s="193">
        <v>2.2000000000000002</v>
      </c>
      <c r="F970" s="128" t="s">
        <v>78</v>
      </c>
      <c r="G970" s="193">
        <v>1</v>
      </c>
      <c r="H970" s="128" t="s">
        <v>95</v>
      </c>
      <c r="I970" s="193">
        <f t="shared" si="13"/>
        <v>3.08</v>
      </c>
      <c r="J970" s="128" t="s">
        <v>42</v>
      </c>
      <c r="P970" s="339"/>
    </row>
    <row r="971" spans="1:33" ht="14.25" customHeight="1">
      <c r="A971" s="190"/>
      <c r="C971" s="193"/>
      <c r="E971" s="193"/>
      <c r="G971" s="193"/>
      <c r="I971" s="193"/>
      <c r="P971" s="339"/>
    </row>
    <row r="972" spans="1:33" ht="14.25" customHeight="1">
      <c r="A972" s="190"/>
      <c r="B972" s="191" t="s">
        <v>92</v>
      </c>
      <c r="C972" s="192">
        <f>SUM(I966:I970)</f>
        <v>22.64</v>
      </c>
      <c r="D972" s="191" t="s">
        <v>42</v>
      </c>
      <c r="G972" s="193"/>
      <c r="O972" s="339"/>
    </row>
    <row r="973" spans="1:33" ht="14.25" customHeight="1">
      <c r="A973" s="190"/>
      <c r="B973" s="191"/>
      <c r="C973" s="192"/>
      <c r="D973" s="191"/>
      <c r="E973" s="193"/>
      <c r="G973" s="193"/>
      <c r="O973" s="339"/>
    </row>
    <row r="974" spans="1:33" ht="31.5" customHeight="1">
      <c r="A974" s="245" t="s">
        <v>436</v>
      </c>
      <c r="B974" s="544" t="s">
        <v>275</v>
      </c>
      <c r="C974" s="544"/>
      <c r="D974" s="544"/>
      <c r="E974" s="544"/>
      <c r="F974" s="544"/>
      <c r="G974" s="544"/>
      <c r="H974" s="544"/>
      <c r="I974" s="544"/>
      <c r="J974" s="544"/>
      <c r="K974" s="544"/>
      <c r="L974" s="544"/>
      <c r="M974" s="544"/>
      <c r="N974" s="544"/>
      <c r="O974" s="346" t="s">
        <v>1020</v>
      </c>
      <c r="P974" s="350" t="s">
        <v>74</v>
      </c>
    </row>
    <row r="975" spans="1:33" ht="15" customHeight="1">
      <c r="A975" s="195"/>
      <c r="B975" s="263"/>
      <c r="C975" s="196"/>
      <c r="D975" s="196"/>
      <c r="E975" s="196"/>
      <c r="F975" s="196"/>
      <c r="G975" s="196"/>
      <c r="H975" s="196"/>
      <c r="I975" s="196"/>
      <c r="J975" s="196"/>
      <c r="K975" s="196"/>
      <c r="L975" s="196"/>
      <c r="M975" s="196"/>
      <c r="N975" s="196"/>
      <c r="O975" s="346"/>
      <c r="P975" s="350"/>
      <c r="Q975" s="353"/>
    </row>
    <row r="976" spans="1:33" ht="15" customHeight="1">
      <c r="A976" s="194"/>
      <c r="C976" s="264" t="s">
        <v>75</v>
      </c>
      <c r="D976" s="264"/>
      <c r="E976" s="264" t="s">
        <v>76</v>
      </c>
      <c r="F976" s="264"/>
      <c r="G976" s="264" t="s">
        <v>87</v>
      </c>
      <c r="H976" s="264"/>
      <c r="I976" s="264" t="s">
        <v>77</v>
      </c>
      <c r="J976" s="265"/>
      <c r="K976" s="265"/>
      <c r="L976" s="194"/>
      <c r="M976" s="194"/>
      <c r="N976" s="194"/>
      <c r="O976" s="257"/>
      <c r="P976" s="353"/>
      <c r="Q976" s="353"/>
    </row>
    <row r="977" spans="1:17" ht="15" customHeight="1">
      <c r="A977" s="194"/>
      <c r="B977" s="128" t="s">
        <v>218</v>
      </c>
      <c r="C977" s="193">
        <v>1</v>
      </c>
      <c r="D977" s="128" t="s">
        <v>78</v>
      </c>
      <c r="E977" s="193">
        <v>2.1</v>
      </c>
      <c r="F977" s="264" t="s">
        <v>78</v>
      </c>
      <c r="G977" s="193">
        <v>1</v>
      </c>
      <c r="H977" s="128" t="s">
        <v>95</v>
      </c>
      <c r="I977" s="193">
        <f>C977*E977*G977</f>
        <v>2.1</v>
      </c>
      <c r="J977" s="264" t="s">
        <v>42</v>
      </c>
      <c r="K977" s="265"/>
      <c r="L977" s="194"/>
      <c r="M977" s="194"/>
      <c r="N977" s="194"/>
      <c r="O977" s="257"/>
      <c r="P977" s="353"/>
      <c r="Q977" s="353"/>
    </row>
    <row r="978" spans="1:17" ht="14.25" customHeight="1">
      <c r="A978" s="194"/>
      <c r="B978" s="264"/>
      <c r="C978" s="194"/>
      <c r="D978" s="264"/>
      <c r="E978" s="194"/>
      <c r="F978" s="194"/>
      <c r="G978" s="194"/>
      <c r="H978" s="194"/>
      <c r="I978" s="194"/>
      <c r="J978" s="194"/>
      <c r="K978" s="194"/>
      <c r="L978" s="194"/>
      <c r="M978" s="194"/>
      <c r="N978" s="194"/>
      <c r="O978" s="257"/>
      <c r="P978" s="353"/>
    </row>
    <row r="979" spans="1:17" ht="14.25" customHeight="1">
      <c r="A979" s="190"/>
      <c r="B979" s="191" t="s">
        <v>92</v>
      </c>
      <c r="C979" s="192">
        <f>I977</f>
        <v>2.1</v>
      </c>
      <c r="D979" s="191" t="s">
        <v>42</v>
      </c>
      <c r="E979" s="193"/>
      <c r="G979" s="193"/>
      <c r="I979" s="193"/>
      <c r="O979" s="339"/>
    </row>
    <row r="980" spans="1:17" s="119" customFormat="1">
      <c r="A980" s="266"/>
      <c r="B980" s="267"/>
      <c r="C980" s="268"/>
      <c r="D980" s="269"/>
      <c r="E980" s="270"/>
      <c r="G980" s="270"/>
      <c r="I980" s="270"/>
      <c r="O980" s="379"/>
      <c r="P980" s="380"/>
    </row>
    <row r="981" spans="1:17" ht="16.5" customHeight="1">
      <c r="A981" s="245" t="s">
        <v>437</v>
      </c>
      <c r="B981" s="544" t="s">
        <v>1144</v>
      </c>
      <c r="C981" s="550"/>
      <c r="D981" s="550"/>
      <c r="E981" s="550"/>
      <c r="F981" s="550"/>
      <c r="G981" s="550"/>
      <c r="H981" s="550"/>
      <c r="I981" s="550"/>
      <c r="J981" s="550"/>
      <c r="K981" s="550"/>
      <c r="L981" s="550"/>
      <c r="M981" s="550"/>
      <c r="N981" s="550"/>
      <c r="O981" s="346">
        <v>100702</v>
      </c>
      <c r="P981" s="350"/>
    </row>
    <row r="982" spans="1:17" ht="15" customHeight="1">
      <c r="A982" s="194"/>
      <c r="B982" s="246"/>
      <c r="C982" s="246"/>
      <c r="D982" s="246"/>
      <c r="E982" s="246"/>
      <c r="F982" s="246"/>
      <c r="G982" s="246"/>
      <c r="H982" s="246"/>
      <c r="I982" s="246"/>
      <c r="J982" s="246"/>
      <c r="K982" s="246"/>
      <c r="L982" s="246"/>
      <c r="M982" s="246"/>
      <c r="N982" s="246"/>
      <c r="O982" s="346"/>
      <c r="P982" s="350"/>
      <c r="Q982" s="353"/>
    </row>
    <row r="983" spans="1:17">
      <c r="A983" s="194"/>
      <c r="C983" s="264" t="s">
        <v>75</v>
      </c>
      <c r="D983" s="264"/>
      <c r="E983" s="264" t="s">
        <v>76</v>
      </c>
      <c r="F983" s="264"/>
      <c r="G983" s="264" t="s">
        <v>87</v>
      </c>
      <c r="H983" s="264"/>
      <c r="I983" s="264" t="s">
        <v>77</v>
      </c>
      <c r="J983" s="264"/>
      <c r="K983" s="194"/>
      <c r="L983" s="194"/>
      <c r="M983" s="194"/>
      <c r="N983" s="194"/>
      <c r="O983" s="257"/>
      <c r="P983" s="353"/>
    </row>
    <row r="984" spans="1:17" ht="14.25" customHeight="1">
      <c r="A984" s="190"/>
      <c r="B984" s="271" t="s">
        <v>472</v>
      </c>
      <c r="C984" s="193">
        <v>4.5999999999999996</v>
      </c>
      <c r="D984" s="128" t="s">
        <v>78</v>
      </c>
      <c r="E984" s="193">
        <v>2.63</v>
      </c>
      <c r="F984" s="128" t="s">
        <v>78</v>
      </c>
      <c r="G984" s="193">
        <v>6</v>
      </c>
      <c r="H984" s="128" t="s">
        <v>95</v>
      </c>
      <c r="I984" s="193">
        <f t="shared" ref="I984" si="14">C984*E984*G984</f>
        <v>72.587999999999994</v>
      </c>
      <c r="J984" s="128" t="s">
        <v>42</v>
      </c>
      <c r="O984" s="272"/>
      <c r="P984" s="128"/>
    </row>
    <row r="985" spans="1:17" ht="14.25" customHeight="1">
      <c r="A985" s="190"/>
      <c r="C985" s="192"/>
      <c r="D985" s="191"/>
      <c r="E985" s="193"/>
      <c r="G985" s="193"/>
      <c r="I985" s="193"/>
      <c r="O985" s="339"/>
    </row>
    <row r="986" spans="1:17" ht="14.25" customHeight="1">
      <c r="A986" s="190"/>
      <c r="B986" s="191" t="s">
        <v>92</v>
      </c>
      <c r="C986" s="192">
        <f>SUM(I984:I984)</f>
        <v>72.587999999999994</v>
      </c>
      <c r="D986" s="191" t="s">
        <v>42</v>
      </c>
      <c r="E986" s="193"/>
      <c r="G986" s="193"/>
      <c r="O986" s="339"/>
    </row>
    <row r="987" spans="1:17" ht="14.25" customHeight="1">
      <c r="A987" s="190"/>
      <c r="C987" s="192"/>
      <c r="D987" s="191"/>
      <c r="E987" s="193"/>
      <c r="G987" s="193"/>
      <c r="O987" s="339"/>
    </row>
    <row r="988" spans="1:17" ht="14.25" customHeight="1">
      <c r="A988" s="245" t="s">
        <v>1148</v>
      </c>
      <c r="B988" s="544" t="s">
        <v>1062</v>
      </c>
      <c r="C988" s="550"/>
      <c r="D988" s="550"/>
      <c r="E988" s="550"/>
      <c r="F988" s="550"/>
      <c r="G988" s="550"/>
      <c r="H988" s="550"/>
      <c r="I988" s="550"/>
      <c r="J988" s="550"/>
      <c r="K988" s="550"/>
      <c r="L988" s="550"/>
      <c r="M988" s="550"/>
      <c r="N988" s="550"/>
      <c r="O988" s="252" t="s">
        <v>1063</v>
      </c>
      <c r="P988" s="350" t="s">
        <v>74</v>
      </c>
    </row>
    <row r="989" spans="1:17" ht="14.25" customHeight="1">
      <c r="A989" s="195"/>
      <c r="C989" s="193"/>
      <c r="E989" s="193"/>
      <c r="G989" s="193"/>
      <c r="P989" s="339"/>
    </row>
    <row r="990" spans="1:17" ht="14.25" customHeight="1">
      <c r="A990" s="190"/>
      <c r="C990" s="193" t="s">
        <v>77</v>
      </c>
      <c r="E990" s="193"/>
      <c r="O990" s="339"/>
    </row>
    <row r="991" spans="1:17" ht="28.5">
      <c r="A991" s="190"/>
      <c r="B991" s="258" t="s">
        <v>1146</v>
      </c>
      <c r="C991" s="193">
        <v>139.18</v>
      </c>
      <c r="D991" s="128" t="s">
        <v>42</v>
      </c>
      <c r="E991" s="193"/>
      <c r="G991" s="193"/>
      <c r="P991" s="339"/>
    </row>
    <row r="992" spans="1:17" ht="14.25">
      <c r="A992" s="190"/>
      <c r="B992" s="128" t="s">
        <v>1147</v>
      </c>
      <c r="C992" s="128">
        <v>0.24</v>
      </c>
      <c r="D992" s="128" t="s">
        <v>42</v>
      </c>
      <c r="E992" s="193"/>
      <c r="G992" s="193"/>
      <c r="P992" s="339"/>
    </row>
    <row r="993" spans="1:17" ht="14.25" customHeight="1">
      <c r="A993" s="190"/>
      <c r="C993" s="193"/>
      <c r="E993" s="193"/>
      <c r="G993" s="193"/>
      <c r="I993" s="193"/>
      <c r="O993" s="339"/>
    </row>
    <row r="994" spans="1:17">
      <c r="A994" s="190"/>
      <c r="B994" s="191" t="s">
        <v>92</v>
      </c>
      <c r="C994" s="192">
        <f>SUM(C991:C992)</f>
        <v>139.42000000000002</v>
      </c>
      <c r="D994" s="191" t="s">
        <v>42</v>
      </c>
      <c r="E994" s="193"/>
      <c r="G994" s="193"/>
      <c r="O994" s="339"/>
    </row>
    <row r="995" spans="1:17">
      <c r="A995" s="190"/>
      <c r="C995" s="192"/>
      <c r="D995" s="191"/>
      <c r="E995" s="193"/>
      <c r="G995" s="193"/>
      <c r="O995" s="339"/>
    </row>
    <row r="996" spans="1:17" ht="14.25" customHeight="1">
      <c r="A996" s="188" t="s">
        <v>377</v>
      </c>
      <c r="B996" s="551" t="s">
        <v>57</v>
      </c>
      <c r="C996" s="552"/>
      <c r="D996" s="552"/>
      <c r="E996" s="552"/>
      <c r="F996" s="552"/>
      <c r="G996" s="552"/>
      <c r="H996" s="552"/>
      <c r="I996" s="552"/>
      <c r="J996" s="552"/>
      <c r="K996" s="552"/>
      <c r="L996" s="552"/>
      <c r="M996" s="552"/>
      <c r="N996" s="552"/>
      <c r="O996" s="346"/>
      <c r="P996" s="347"/>
    </row>
    <row r="997" spans="1:17" ht="14.25">
      <c r="A997" s="190"/>
      <c r="C997" s="193"/>
      <c r="E997" s="193"/>
      <c r="G997" s="193"/>
      <c r="O997" s="339"/>
    </row>
    <row r="998" spans="1:17" ht="32.25" customHeight="1">
      <c r="A998" s="245" t="s">
        <v>438</v>
      </c>
      <c r="B998" s="544" t="s">
        <v>228</v>
      </c>
      <c r="C998" s="550"/>
      <c r="D998" s="550"/>
      <c r="E998" s="550"/>
      <c r="F998" s="550"/>
      <c r="G998" s="550"/>
      <c r="H998" s="550"/>
      <c r="I998" s="550"/>
      <c r="J998" s="550"/>
      <c r="K998" s="550"/>
      <c r="L998" s="550"/>
      <c r="M998" s="550"/>
      <c r="N998" s="550"/>
      <c r="O998" s="346">
        <v>100757</v>
      </c>
      <c r="P998" s="350"/>
    </row>
    <row r="999" spans="1:17" ht="15" customHeight="1">
      <c r="A999" s="190"/>
      <c r="C999" s="193"/>
      <c r="E999" s="193"/>
      <c r="G999" s="193"/>
      <c r="O999" s="339"/>
      <c r="Q999" s="353"/>
    </row>
    <row r="1000" spans="1:17" ht="14.25" customHeight="1">
      <c r="A1000" s="190"/>
      <c r="B1000" s="191" t="s">
        <v>454</v>
      </c>
      <c r="C1000" s="193" t="s">
        <v>75</v>
      </c>
      <c r="E1000" s="193" t="s">
        <v>76</v>
      </c>
      <c r="G1000" s="128" t="s">
        <v>129</v>
      </c>
      <c r="I1000" s="193" t="s">
        <v>87</v>
      </c>
      <c r="K1000" s="128" t="s">
        <v>77</v>
      </c>
      <c r="O1000" s="339"/>
    </row>
    <row r="1001" spans="1:17" ht="14.25" customHeight="1">
      <c r="A1001" s="190"/>
      <c r="B1001" s="128" t="s">
        <v>473</v>
      </c>
      <c r="C1001" s="193">
        <f>C966</f>
        <v>2</v>
      </c>
      <c r="D1001" s="128" t="s">
        <v>78</v>
      </c>
      <c r="E1001" s="193">
        <f>E966</f>
        <v>2.1</v>
      </c>
      <c r="F1001" s="128" t="s">
        <v>78</v>
      </c>
      <c r="G1001" s="193">
        <v>2</v>
      </c>
      <c r="H1001" s="128" t="s">
        <v>130</v>
      </c>
      <c r="I1001" s="193">
        <f>G966</f>
        <v>3</v>
      </c>
      <c r="J1001" s="128" t="s">
        <v>95</v>
      </c>
      <c r="K1001" s="193">
        <f>C1001*E1001*G1001*I1001</f>
        <v>25.200000000000003</v>
      </c>
      <c r="L1001" s="128" t="s">
        <v>42</v>
      </c>
      <c r="O1001" s="339"/>
    </row>
    <row r="1002" spans="1:17" ht="15" customHeight="1">
      <c r="A1002" s="194"/>
      <c r="B1002" s="128" t="s">
        <v>474</v>
      </c>
      <c r="C1002" s="193">
        <f t="shared" ref="C1002:C1005" si="15">C967</f>
        <v>1.2</v>
      </c>
      <c r="D1002" s="128" t="s">
        <v>78</v>
      </c>
      <c r="E1002" s="193">
        <f t="shared" ref="E1002:E1005" si="16">E967</f>
        <v>2.1</v>
      </c>
      <c r="F1002" s="128" t="s">
        <v>78</v>
      </c>
      <c r="G1002" s="193">
        <v>2</v>
      </c>
      <c r="H1002" s="128" t="s">
        <v>130</v>
      </c>
      <c r="I1002" s="193">
        <f>G967</f>
        <v>1</v>
      </c>
      <c r="J1002" s="128" t="s">
        <v>95</v>
      </c>
      <c r="K1002" s="193">
        <f>C1002*E1002*G1002*I1002</f>
        <v>5.04</v>
      </c>
      <c r="L1002" s="264" t="s">
        <v>42</v>
      </c>
      <c r="M1002" s="194"/>
      <c r="N1002" s="194"/>
      <c r="O1002" s="257"/>
      <c r="P1002" s="353"/>
      <c r="Q1002" s="353"/>
    </row>
    <row r="1003" spans="1:17" ht="15" customHeight="1">
      <c r="A1003" s="194"/>
      <c r="B1003" s="128" t="s">
        <v>476</v>
      </c>
      <c r="C1003" s="193">
        <f t="shared" si="15"/>
        <v>1.08</v>
      </c>
      <c r="D1003" s="128" t="s">
        <v>78</v>
      </c>
      <c r="E1003" s="193">
        <f t="shared" si="16"/>
        <v>2</v>
      </c>
      <c r="F1003" s="128" t="s">
        <v>78</v>
      </c>
      <c r="G1003" s="193">
        <v>2</v>
      </c>
      <c r="H1003" s="128" t="s">
        <v>130</v>
      </c>
      <c r="I1003" s="193">
        <f>G970</f>
        <v>1</v>
      </c>
      <c r="J1003" s="128" t="s">
        <v>95</v>
      </c>
      <c r="K1003" s="193">
        <f>C1003*E1003*G1003*I1003</f>
        <v>4.32</v>
      </c>
      <c r="L1003" s="264" t="s">
        <v>42</v>
      </c>
      <c r="M1003" s="194"/>
      <c r="N1003" s="194"/>
      <c r="O1003" s="257"/>
      <c r="P1003" s="353"/>
      <c r="Q1003" s="353"/>
    </row>
    <row r="1004" spans="1:17" ht="15" customHeight="1">
      <c r="A1004" s="194"/>
      <c r="B1004" s="128" t="s">
        <v>475</v>
      </c>
      <c r="C1004" s="193">
        <f t="shared" si="15"/>
        <v>1.2</v>
      </c>
      <c r="D1004" s="128" t="s">
        <v>78</v>
      </c>
      <c r="E1004" s="193">
        <f t="shared" si="16"/>
        <v>1.9</v>
      </c>
      <c r="F1004" s="128" t="s">
        <v>78</v>
      </c>
      <c r="G1004" s="193">
        <v>2</v>
      </c>
      <c r="H1004" s="128" t="s">
        <v>130</v>
      </c>
      <c r="I1004" s="193">
        <f>G968</f>
        <v>1</v>
      </c>
      <c r="J1004" s="128" t="s">
        <v>95</v>
      </c>
      <c r="K1004" s="193">
        <f>C1004*E1004*G1004*I1004</f>
        <v>4.5599999999999996</v>
      </c>
      <c r="L1004" s="264" t="s">
        <v>42</v>
      </c>
      <c r="M1004" s="194"/>
      <c r="N1004" s="194"/>
      <c r="O1004" s="257"/>
      <c r="P1004" s="353"/>
      <c r="Q1004" s="353"/>
    </row>
    <row r="1005" spans="1:17" ht="15" customHeight="1">
      <c r="A1005" s="194"/>
      <c r="B1005" s="128" t="s">
        <v>477</v>
      </c>
      <c r="C1005" s="193">
        <f t="shared" si="15"/>
        <v>1.4</v>
      </c>
      <c r="D1005" s="128" t="s">
        <v>78</v>
      </c>
      <c r="E1005" s="193">
        <f t="shared" si="16"/>
        <v>2.2000000000000002</v>
      </c>
      <c r="F1005" s="128" t="s">
        <v>78</v>
      </c>
      <c r="G1005" s="193">
        <v>2</v>
      </c>
      <c r="H1005" s="128" t="s">
        <v>130</v>
      </c>
      <c r="I1005" s="193">
        <f>G969</f>
        <v>1</v>
      </c>
      <c r="J1005" s="128" t="s">
        <v>95</v>
      </c>
      <c r="K1005" s="193">
        <f>C1005*E1005*G1005*I1005</f>
        <v>6.16</v>
      </c>
      <c r="L1005" s="264" t="s">
        <v>42</v>
      </c>
      <c r="M1005" s="194"/>
      <c r="N1005" s="194"/>
      <c r="O1005" s="257"/>
      <c r="P1005" s="353"/>
      <c r="Q1005" s="353"/>
    </row>
    <row r="1006" spans="1:17" ht="15" customHeight="1">
      <c r="A1006" s="194"/>
      <c r="C1006" s="193"/>
      <c r="E1006" s="194"/>
      <c r="F1006" s="194"/>
      <c r="G1006" s="194"/>
      <c r="H1006" s="194"/>
      <c r="I1006" s="194"/>
      <c r="J1006" s="194"/>
      <c r="K1006" s="194"/>
      <c r="L1006" s="194"/>
      <c r="M1006" s="194"/>
      <c r="N1006" s="194"/>
      <c r="O1006" s="257"/>
      <c r="P1006" s="353"/>
      <c r="Q1006" s="353"/>
    </row>
    <row r="1007" spans="1:17" ht="15" customHeight="1">
      <c r="A1007" s="194"/>
      <c r="B1007" s="128" t="s">
        <v>221</v>
      </c>
      <c r="C1007" s="193">
        <f>SUM(K1001:K1005)</f>
        <v>45.28</v>
      </c>
      <c r="D1007" s="264" t="s">
        <v>42</v>
      </c>
      <c r="E1007" s="194"/>
      <c r="F1007" s="194"/>
      <c r="G1007" s="194"/>
      <c r="H1007" s="194"/>
      <c r="I1007" s="194"/>
      <c r="J1007" s="194"/>
      <c r="K1007" s="194"/>
      <c r="L1007" s="194"/>
      <c r="M1007" s="194"/>
      <c r="N1007" s="194"/>
      <c r="O1007" s="257"/>
      <c r="P1007" s="353"/>
      <c r="Q1007" s="353"/>
    </row>
    <row r="1008" spans="1:17" ht="15" customHeight="1">
      <c r="A1008" s="194"/>
      <c r="C1008" s="194"/>
      <c r="D1008" s="264"/>
      <c r="E1008" s="194"/>
      <c r="F1008" s="194"/>
      <c r="G1008" s="194"/>
      <c r="H1008" s="194"/>
      <c r="I1008" s="194"/>
      <c r="J1008" s="194"/>
      <c r="K1008" s="194"/>
      <c r="L1008" s="194"/>
      <c r="M1008" s="194"/>
      <c r="N1008" s="194"/>
      <c r="O1008" s="257"/>
      <c r="P1008" s="353"/>
      <c r="Q1008" s="353"/>
    </row>
    <row r="1009" spans="1:33" ht="14.25" customHeight="1">
      <c r="A1009" s="190"/>
      <c r="B1009" s="191" t="s">
        <v>448</v>
      </c>
      <c r="C1009" s="193" t="s">
        <v>77</v>
      </c>
      <c r="E1009" s="193" t="s">
        <v>129</v>
      </c>
      <c r="G1009" s="193" t="s">
        <v>77</v>
      </c>
      <c r="O1009" s="339"/>
      <c r="P1009" s="347"/>
      <c r="Q1009" s="129"/>
      <c r="R1009" s="129"/>
      <c r="S1009" s="129"/>
      <c r="T1009" s="129"/>
      <c r="U1009" s="129"/>
      <c r="V1009" s="129"/>
      <c r="W1009" s="129"/>
      <c r="X1009" s="129"/>
      <c r="Y1009" s="129"/>
      <c r="Z1009" s="129"/>
      <c r="AA1009" s="129"/>
      <c r="AB1009" s="129"/>
      <c r="AC1009" s="129"/>
      <c r="AD1009" s="129"/>
      <c r="AE1009" s="129"/>
      <c r="AF1009" s="129"/>
      <c r="AG1009" s="129"/>
    </row>
    <row r="1010" spans="1:33" ht="14.25">
      <c r="A1010" s="190"/>
      <c r="B1010" s="128" t="str">
        <f>B568</f>
        <v>Pátio Coberto</v>
      </c>
      <c r="C1010" s="193">
        <f>C568</f>
        <v>26.88</v>
      </c>
      <c r="D1010" s="128" t="s">
        <v>103</v>
      </c>
      <c r="E1010" s="193">
        <v>1</v>
      </c>
      <c r="F1010" s="128" t="s">
        <v>95</v>
      </c>
      <c r="G1010" s="193">
        <f>C1010*E1010</f>
        <v>26.88</v>
      </c>
      <c r="H1010" s="128" t="s">
        <v>42</v>
      </c>
      <c r="O1010" s="339"/>
    </row>
    <row r="1011" spans="1:33" ht="14.25">
      <c r="A1011" s="190"/>
      <c r="B1011" s="128" t="str">
        <f>B569</f>
        <v>Fachadas</v>
      </c>
      <c r="C1011" s="193">
        <f>C569</f>
        <v>23.8</v>
      </c>
      <c r="D1011" s="128" t="s">
        <v>103</v>
      </c>
      <c r="E1011" s="193">
        <v>1</v>
      </c>
      <c r="F1011" s="128" t="s">
        <v>95</v>
      </c>
      <c r="G1011" s="193">
        <f>C1011*E1011</f>
        <v>23.8</v>
      </c>
      <c r="H1011" s="128" t="s">
        <v>42</v>
      </c>
      <c r="O1011" s="339"/>
    </row>
    <row r="1012" spans="1:33" ht="14.25">
      <c r="A1012" s="190"/>
      <c r="C1012" s="193"/>
      <c r="E1012" s="193"/>
      <c r="G1012" s="193"/>
      <c r="O1012" s="339"/>
    </row>
    <row r="1013" spans="1:33" ht="14.25">
      <c r="A1013" s="190"/>
      <c r="B1013" s="128" t="s">
        <v>221</v>
      </c>
      <c r="C1013" s="193">
        <f>SUM(G1010:G1011)</f>
        <v>50.68</v>
      </c>
      <c r="D1013" s="128" t="s">
        <v>42</v>
      </c>
      <c r="E1013" s="193"/>
      <c r="G1013" s="193"/>
      <c r="O1013" s="339"/>
    </row>
    <row r="1014" spans="1:33" ht="15" customHeight="1">
      <c r="A1014" s="190"/>
      <c r="C1014" s="193"/>
      <c r="E1014" s="193"/>
      <c r="G1014" s="193"/>
      <c r="O1014" s="339"/>
    </row>
    <row r="1015" spans="1:33" ht="14.25" customHeight="1">
      <c r="A1015" s="190"/>
      <c r="B1015" s="273" t="s">
        <v>1149</v>
      </c>
      <c r="C1015" s="193" t="s">
        <v>77</v>
      </c>
      <c r="E1015" s="193" t="s">
        <v>129</v>
      </c>
      <c r="G1015" s="128" t="s">
        <v>77</v>
      </c>
      <c r="O1015" s="339"/>
    </row>
    <row r="1016" spans="1:33" ht="28.5">
      <c r="A1016" s="190"/>
      <c r="B1016" s="258" t="s">
        <v>1146</v>
      </c>
      <c r="C1016" s="193">
        <v>139.18</v>
      </c>
      <c r="D1016" s="128" t="s">
        <v>1150</v>
      </c>
      <c r="E1016" s="193">
        <v>3</v>
      </c>
      <c r="F1016" s="128" t="s">
        <v>95</v>
      </c>
      <c r="G1016" s="193">
        <f>C1016*E1016</f>
        <v>417.54</v>
      </c>
      <c r="H1016" s="128" t="s">
        <v>42</v>
      </c>
      <c r="P1016" s="339"/>
    </row>
    <row r="1017" spans="1:33" ht="14.25">
      <c r="A1017" s="190"/>
      <c r="B1017" s="128" t="s">
        <v>1147</v>
      </c>
      <c r="C1017" s="128">
        <v>0.24</v>
      </c>
      <c r="D1017" s="128" t="s">
        <v>103</v>
      </c>
      <c r="E1017" s="193">
        <v>3</v>
      </c>
      <c r="F1017" s="128" t="s">
        <v>95</v>
      </c>
      <c r="G1017" s="193">
        <f>C1017*E1017</f>
        <v>0.72</v>
      </c>
      <c r="H1017" s="128" t="s">
        <v>42</v>
      </c>
      <c r="P1017" s="339"/>
    </row>
    <row r="1018" spans="1:33" ht="14.25" customHeight="1">
      <c r="A1018" s="190"/>
      <c r="B1018" s="264"/>
      <c r="C1018" s="193"/>
      <c r="E1018" s="193"/>
      <c r="G1018" s="193"/>
      <c r="I1018" s="193"/>
      <c r="O1018" s="339"/>
    </row>
    <row r="1019" spans="1:33" ht="14.25" customHeight="1">
      <c r="A1019" s="190"/>
      <c r="B1019" s="264" t="s">
        <v>221</v>
      </c>
      <c r="C1019" s="193">
        <f>SUM(G1016:G1017)</f>
        <v>418.26000000000005</v>
      </c>
      <c r="D1019" s="128" t="s">
        <v>42</v>
      </c>
      <c r="E1019" s="193"/>
      <c r="G1019" s="193"/>
      <c r="I1019" s="193"/>
      <c r="O1019" s="339"/>
    </row>
    <row r="1020" spans="1:33" ht="14.25" customHeight="1">
      <c r="A1020" s="190"/>
      <c r="B1020" s="264"/>
      <c r="C1020" s="193"/>
      <c r="E1020" s="193"/>
      <c r="G1020" s="193"/>
      <c r="I1020" s="193"/>
      <c r="O1020" s="339"/>
    </row>
    <row r="1021" spans="1:33" ht="14.25" customHeight="1">
      <c r="A1021" s="190"/>
      <c r="B1021" s="191" t="s">
        <v>92</v>
      </c>
      <c r="C1021" s="274">
        <f>C1007+C1013+C1019</f>
        <v>514.22</v>
      </c>
      <c r="D1021" s="191" t="s">
        <v>42</v>
      </c>
      <c r="E1021" s="193"/>
      <c r="G1021" s="193"/>
      <c r="O1021" s="339"/>
    </row>
    <row r="1022" spans="1:33" ht="15" customHeight="1">
      <c r="A1022" s="190"/>
      <c r="C1022" s="197"/>
      <c r="E1022" s="193"/>
      <c r="G1022" s="193"/>
      <c r="O1022" s="339"/>
      <c r="Q1022" s="353"/>
    </row>
    <row r="1023" spans="1:33" s="399" customFormat="1" ht="33" customHeight="1">
      <c r="A1023" s="396" t="s">
        <v>439</v>
      </c>
      <c r="B1023" s="570" t="s">
        <v>2506</v>
      </c>
      <c r="C1023" s="571"/>
      <c r="D1023" s="571"/>
      <c r="E1023" s="571"/>
      <c r="F1023" s="571"/>
      <c r="G1023" s="571"/>
      <c r="H1023" s="571"/>
      <c r="I1023" s="571"/>
      <c r="J1023" s="571"/>
      <c r="K1023" s="571"/>
      <c r="L1023" s="571"/>
      <c r="M1023" s="571"/>
      <c r="N1023" s="571"/>
      <c r="O1023" s="397" t="s">
        <v>2507</v>
      </c>
      <c r="P1023" s="398"/>
      <c r="S1023" s="400"/>
      <c r="T1023" s="400"/>
      <c r="U1023" s="400"/>
      <c r="V1023" s="400"/>
      <c r="W1023" s="400"/>
      <c r="X1023" s="400"/>
      <c r="Y1023" s="400"/>
      <c r="Z1023" s="400"/>
      <c r="AA1023" s="400"/>
      <c r="AB1023" s="400"/>
      <c r="AC1023" s="400"/>
      <c r="AD1023" s="400"/>
      <c r="AE1023" s="400"/>
      <c r="AF1023" s="400"/>
      <c r="AG1023" s="400"/>
    </row>
    <row r="1024" spans="1:33" ht="14.25" customHeight="1">
      <c r="A1024" s="190"/>
      <c r="C1024" s="193"/>
      <c r="E1024" s="193"/>
      <c r="G1024" s="193"/>
      <c r="O1024" s="339"/>
      <c r="Q1024" s="129"/>
      <c r="S1024" s="129"/>
      <c r="T1024" s="129"/>
      <c r="U1024" s="129"/>
      <c r="V1024" s="129"/>
      <c r="W1024" s="129"/>
      <c r="X1024" s="129"/>
      <c r="Y1024" s="129"/>
      <c r="Z1024" s="129"/>
      <c r="AA1024" s="129"/>
      <c r="AB1024" s="129"/>
      <c r="AC1024" s="129"/>
      <c r="AD1024" s="129"/>
      <c r="AE1024" s="129"/>
      <c r="AF1024" s="129"/>
      <c r="AG1024" s="129"/>
    </row>
    <row r="1025" spans="1:33" ht="14.25" customHeight="1">
      <c r="A1025" s="190"/>
      <c r="B1025" s="128" t="s">
        <v>2508</v>
      </c>
      <c r="C1025" s="193"/>
      <c r="E1025" s="193"/>
      <c r="G1025" s="193"/>
      <c r="O1025" s="339"/>
      <c r="Q1025" s="129"/>
      <c r="S1025" s="129"/>
      <c r="T1025" s="129"/>
      <c r="U1025" s="129"/>
      <c r="V1025" s="129"/>
      <c r="W1025" s="129"/>
      <c r="X1025" s="129"/>
      <c r="Y1025" s="129"/>
      <c r="Z1025" s="129"/>
      <c r="AA1025" s="129"/>
      <c r="AB1025" s="129"/>
      <c r="AC1025" s="129"/>
      <c r="AD1025" s="129"/>
      <c r="AE1025" s="129"/>
      <c r="AF1025" s="129"/>
      <c r="AG1025" s="129"/>
    </row>
    <row r="1026" spans="1:33" ht="14.25" customHeight="1">
      <c r="A1026" s="190"/>
      <c r="C1026" s="193"/>
      <c r="E1026" s="193"/>
      <c r="G1026" s="193"/>
      <c r="O1026" s="339"/>
      <c r="Q1026" s="129"/>
      <c r="S1026" s="129"/>
      <c r="T1026" s="129"/>
      <c r="U1026" s="129"/>
      <c r="V1026" s="129"/>
      <c r="W1026" s="129"/>
      <c r="X1026" s="129"/>
      <c r="Y1026" s="129"/>
      <c r="Z1026" s="129"/>
      <c r="AA1026" s="129"/>
      <c r="AB1026" s="129"/>
      <c r="AC1026" s="129"/>
      <c r="AD1026" s="129"/>
      <c r="AE1026" s="129"/>
      <c r="AF1026" s="129"/>
      <c r="AG1026" s="129"/>
    </row>
    <row r="1027" spans="1:33" ht="14.25" customHeight="1">
      <c r="A1027" s="190"/>
      <c r="B1027" s="128" t="s">
        <v>2509</v>
      </c>
      <c r="C1027" s="193">
        <f>C1021</f>
        <v>514.22</v>
      </c>
      <c r="D1027" s="128" t="s">
        <v>42</v>
      </c>
      <c r="E1027" s="193"/>
      <c r="G1027" s="193"/>
      <c r="O1027" s="339"/>
      <c r="P1027" s="347"/>
      <c r="Q1027" s="129"/>
      <c r="R1027" s="129"/>
      <c r="S1027" s="129"/>
      <c r="T1027" s="129"/>
      <c r="U1027" s="129"/>
      <c r="V1027" s="129"/>
      <c r="W1027" s="129"/>
      <c r="X1027" s="129"/>
      <c r="Y1027" s="129"/>
      <c r="Z1027" s="129"/>
      <c r="AA1027" s="129"/>
      <c r="AB1027" s="129"/>
      <c r="AC1027" s="129"/>
      <c r="AD1027" s="129"/>
      <c r="AE1027" s="129"/>
      <c r="AF1027" s="129"/>
      <c r="AG1027" s="129"/>
    </row>
    <row r="1028" spans="1:33" ht="14.25">
      <c r="A1028" s="190"/>
      <c r="B1028" s="325" t="s">
        <v>2510</v>
      </c>
      <c r="C1028" s="197">
        <f>C1013</f>
        <v>50.68</v>
      </c>
      <c r="D1028" s="197" t="s">
        <v>42</v>
      </c>
      <c r="E1028" s="197"/>
      <c r="F1028" s="197"/>
      <c r="G1028" s="197"/>
      <c r="H1028" s="197"/>
      <c r="I1028" s="197"/>
      <c r="J1028" s="197"/>
      <c r="K1028" s="197"/>
      <c r="L1028" s="197"/>
      <c r="M1028" s="197"/>
      <c r="N1028" s="197"/>
      <c r="O1028" s="339"/>
      <c r="P1028" s="347"/>
      <c r="Q1028" s="129"/>
      <c r="R1028" s="129"/>
    </row>
    <row r="1029" spans="1:33" ht="14.25" customHeight="1">
      <c r="A1029" s="190"/>
      <c r="B1029" s="274"/>
      <c r="C1029" s="197"/>
      <c r="D1029" s="197"/>
      <c r="E1029" s="197"/>
      <c r="F1029" s="197"/>
      <c r="G1029" s="197"/>
      <c r="H1029" s="197"/>
      <c r="I1029" s="197"/>
      <c r="J1029" s="197"/>
      <c r="K1029" s="197"/>
      <c r="L1029" s="197"/>
      <c r="M1029" s="197"/>
      <c r="N1029" s="197"/>
      <c r="O1029" s="339"/>
      <c r="P1029" s="347"/>
      <c r="Q1029" s="129"/>
      <c r="R1029" s="129"/>
    </row>
    <row r="1030" spans="1:33" ht="14.25" customHeight="1">
      <c r="A1030" s="190"/>
      <c r="B1030" s="274" t="s">
        <v>92</v>
      </c>
      <c r="C1030" s="274">
        <f>C1027-C1028</f>
        <v>463.54</v>
      </c>
      <c r="D1030" s="274"/>
      <c r="E1030" s="197"/>
      <c r="F1030" s="197"/>
      <c r="G1030" s="197"/>
      <c r="H1030" s="197"/>
      <c r="I1030" s="197"/>
      <c r="J1030" s="197"/>
      <c r="K1030" s="197"/>
      <c r="L1030" s="197"/>
      <c r="M1030" s="197"/>
      <c r="N1030" s="197"/>
      <c r="O1030" s="339"/>
      <c r="P1030" s="347"/>
      <c r="Q1030" s="129"/>
      <c r="R1030" s="129"/>
    </row>
    <row r="1031" spans="1:33" ht="14.25" customHeight="1">
      <c r="A1031" s="190"/>
      <c r="B1031" s="197"/>
      <c r="C1031" s="197"/>
      <c r="D1031" s="197"/>
      <c r="E1031" s="197"/>
      <c r="F1031" s="197"/>
      <c r="G1031" s="197"/>
      <c r="H1031" s="197"/>
      <c r="I1031" s="197"/>
      <c r="J1031" s="197"/>
      <c r="K1031" s="197"/>
      <c r="L1031" s="197"/>
      <c r="M1031" s="197"/>
      <c r="N1031" s="197"/>
      <c r="O1031" s="339"/>
      <c r="P1031" s="347"/>
      <c r="Q1031" s="129"/>
      <c r="R1031" s="129"/>
    </row>
    <row r="1032" spans="1:33" ht="14.25" customHeight="1">
      <c r="A1032" s="245" t="s">
        <v>440</v>
      </c>
      <c r="B1032" s="544" t="s">
        <v>166</v>
      </c>
      <c r="C1032" s="550"/>
      <c r="D1032" s="550"/>
      <c r="E1032" s="550"/>
      <c r="F1032" s="550"/>
      <c r="G1032" s="550"/>
      <c r="H1032" s="550"/>
      <c r="I1032" s="550"/>
      <c r="J1032" s="550"/>
      <c r="K1032" s="550"/>
      <c r="L1032" s="550"/>
      <c r="M1032" s="550"/>
      <c r="N1032" s="550"/>
      <c r="O1032" s="346" t="s">
        <v>1021</v>
      </c>
      <c r="P1032" s="350" t="s">
        <v>74</v>
      </c>
    </row>
    <row r="1033" spans="1:33" ht="14.25" customHeight="1">
      <c r="A1033" s="190"/>
      <c r="C1033" s="193"/>
      <c r="E1033" s="193"/>
      <c r="G1033" s="193"/>
      <c r="O1033" s="339"/>
    </row>
    <row r="1034" spans="1:33" ht="14.25" customHeight="1">
      <c r="A1034" s="190"/>
      <c r="B1034" s="191" t="s">
        <v>167</v>
      </c>
      <c r="C1034" s="193" t="s">
        <v>86</v>
      </c>
      <c r="E1034" s="193" t="s">
        <v>76</v>
      </c>
      <c r="G1034" s="193" t="s">
        <v>87</v>
      </c>
      <c r="I1034" s="128" t="s">
        <v>480</v>
      </c>
      <c r="K1034" s="128" t="s">
        <v>77</v>
      </c>
      <c r="O1034" s="339"/>
    </row>
    <row r="1035" spans="1:33" ht="14.25" customHeight="1">
      <c r="A1035" s="190"/>
      <c r="B1035" s="128" t="s">
        <v>141</v>
      </c>
      <c r="C1035" s="193">
        <v>0.9</v>
      </c>
      <c r="D1035" s="128" t="s">
        <v>78</v>
      </c>
      <c r="E1035" s="193">
        <v>2.1</v>
      </c>
      <c r="F1035" s="128" t="s">
        <v>78</v>
      </c>
      <c r="G1035" s="193">
        <f>C809</f>
        <v>6</v>
      </c>
      <c r="H1035" s="128" t="s">
        <v>130</v>
      </c>
      <c r="I1035" s="193">
        <v>2.5</v>
      </c>
      <c r="J1035" s="128" t="s">
        <v>95</v>
      </c>
      <c r="K1035" s="193">
        <f t="shared" ref="K1035:K1041" si="17">C1035*E1035*G1035*I1035</f>
        <v>28.35</v>
      </c>
      <c r="L1035" s="128" t="s">
        <v>42</v>
      </c>
      <c r="O1035" s="339"/>
    </row>
    <row r="1036" spans="1:33" ht="14.25" customHeight="1">
      <c r="A1036" s="190"/>
      <c r="B1036" s="128" t="s">
        <v>139</v>
      </c>
      <c r="C1036" s="193">
        <v>0.9</v>
      </c>
      <c r="D1036" s="128" t="s">
        <v>78</v>
      </c>
      <c r="E1036" s="193">
        <v>2.1</v>
      </c>
      <c r="F1036" s="128" t="s">
        <v>78</v>
      </c>
      <c r="G1036" s="193">
        <f>C816</f>
        <v>5</v>
      </c>
      <c r="H1036" s="128" t="s">
        <v>130</v>
      </c>
      <c r="I1036" s="193">
        <v>2.5</v>
      </c>
      <c r="J1036" s="128" t="s">
        <v>95</v>
      </c>
      <c r="K1036" s="193">
        <f t="shared" si="17"/>
        <v>23.625000000000004</v>
      </c>
      <c r="L1036" s="128" t="s">
        <v>42</v>
      </c>
      <c r="O1036" s="339"/>
    </row>
    <row r="1037" spans="1:33" ht="14.25" customHeight="1">
      <c r="A1037" s="190"/>
      <c r="B1037" s="128" t="s">
        <v>138</v>
      </c>
      <c r="C1037" s="193">
        <v>0.8</v>
      </c>
      <c r="D1037" s="128" t="s">
        <v>78</v>
      </c>
      <c r="E1037" s="193">
        <v>2.1</v>
      </c>
      <c r="F1037" s="128" t="s">
        <v>78</v>
      </c>
      <c r="G1037" s="193">
        <f>C824</f>
        <v>4</v>
      </c>
      <c r="H1037" s="128" t="s">
        <v>130</v>
      </c>
      <c r="I1037" s="193">
        <v>2.5</v>
      </c>
      <c r="J1037" s="128" t="s">
        <v>95</v>
      </c>
      <c r="K1037" s="193">
        <f t="shared" si="17"/>
        <v>16.8</v>
      </c>
      <c r="L1037" s="128" t="s">
        <v>42</v>
      </c>
      <c r="O1037" s="339"/>
    </row>
    <row r="1038" spans="1:33" ht="14.25" customHeight="1">
      <c r="A1038" s="190"/>
      <c r="B1038" s="128" t="s">
        <v>134</v>
      </c>
      <c r="C1038" s="193">
        <v>0.7</v>
      </c>
      <c r="D1038" s="128" t="s">
        <v>78</v>
      </c>
      <c r="E1038" s="193">
        <v>2.1</v>
      </c>
      <c r="F1038" s="128" t="s">
        <v>78</v>
      </c>
      <c r="G1038" s="193">
        <f>C832</f>
        <v>6</v>
      </c>
      <c r="H1038" s="128" t="s">
        <v>130</v>
      </c>
      <c r="I1038" s="193">
        <v>2.5</v>
      </c>
      <c r="J1038" s="128" t="s">
        <v>95</v>
      </c>
      <c r="K1038" s="193">
        <f t="shared" si="17"/>
        <v>22.05</v>
      </c>
      <c r="L1038" s="128" t="s">
        <v>42</v>
      </c>
      <c r="O1038" s="339"/>
    </row>
    <row r="1039" spans="1:33" ht="14.25" customHeight="1">
      <c r="A1039" s="190"/>
      <c r="B1039" s="128" t="s">
        <v>135</v>
      </c>
      <c r="C1039" s="193">
        <v>0.8</v>
      </c>
      <c r="D1039" s="128" t="s">
        <v>78</v>
      </c>
      <c r="E1039" s="193">
        <v>2.1</v>
      </c>
      <c r="F1039" s="128" t="s">
        <v>78</v>
      </c>
      <c r="G1039" s="193">
        <f>C825</f>
        <v>1</v>
      </c>
      <c r="H1039" s="128" t="s">
        <v>130</v>
      </c>
      <c r="I1039" s="193">
        <v>2.5</v>
      </c>
      <c r="J1039" s="128" t="s">
        <v>95</v>
      </c>
      <c r="K1039" s="193">
        <f t="shared" si="17"/>
        <v>4.2</v>
      </c>
      <c r="L1039" s="128" t="s">
        <v>42</v>
      </c>
      <c r="O1039" s="339"/>
    </row>
    <row r="1040" spans="1:33" ht="14.25" customHeight="1">
      <c r="A1040" s="190"/>
      <c r="B1040" s="128" t="s">
        <v>142</v>
      </c>
      <c r="C1040" s="193">
        <v>0.9</v>
      </c>
      <c r="D1040" s="128" t="s">
        <v>78</v>
      </c>
      <c r="E1040" s="193">
        <v>2.1</v>
      </c>
      <c r="F1040" s="128" t="s">
        <v>78</v>
      </c>
      <c r="G1040" s="193">
        <f>C817</f>
        <v>4</v>
      </c>
      <c r="H1040" s="128" t="s">
        <v>130</v>
      </c>
      <c r="I1040" s="193">
        <v>2.5</v>
      </c>
      <c r="J1040" s="128" t="s">
        <v>95</v>
      </c>
      <c r="K1040" s="193">
        <f t="shared" si="17"/>
        <v>18.900000000000002</v>
      </c>
      <c r="L1040" s="128" t="s">
        <v>42</v>
      </c>
      <c r="O1040" s="339"/>
    </row>
    <row r="1041" spans="1:33" ht="14.25" customHeight="1">
      <c r="A1041" s="190"/>
      <c r="B1041" s="128" t="s">
        <v>470</v>
      </c>
      <c r="C1041" s="193">
        <v>0.6</v>
      </c>
      <c r="D1041" s="128" t="s">
        <v>78</v>
      </c>
      <c r="E1041" s="193">
        <v>1.2</v>
      </c>
      <c r="F1041" s="128" t="s">
        <v>78</v>
      </c>
      <c r="G1041" s="193">
        <f>C839</f>
        <v>11</v>
      </c>
      <c r="H1041" s="128" t="s">
        <v>130</v>
      </c>
      <c r="I1041" s="193">
        <v>2.5</v>
      </c>
      <c r="J1041" s="128" t="s">
        <v>95</v>
      </c>
      <c r="K1041" s="193">
        <f t="shared" si="17"/>
        <v>19.8</v>
      </c>
      <c r="L1041" s="128" t="s">
        <v>42</v>
      </c>
      <c r="O1041" s="339"/>
    </row>
    <row r="1042" spans="1:33" ht="14.25" customHeight="1">
      <c r="A1042" s="190"/>
      <c r="C1042" s="193"/>
      <c r="E1042" s="193"/>
      <c r="G1042" s="193"/>
      <c r="I1042" s="193"/>
      <c r="K1042" s="193"/>
      <c r="O1042" s="339"/>
    </row>
    <row r="1043" spans="1:33" ht="14.25" customHeight="1">
      <c r="A1043" s="190"/>
      <c r="B1043" s="128" t="s">
        <v>221</v>
      </c>
      <c r="C1043" s="193">
        <f>SUM(K1035:K1041)</f>
        <v>133.72500000000002</v>
      </c>
      <c r="D1043" s="128" t="s">
        <v>42</v>
      </c>
      <c r="E1043" s="193"/>
      <c r="G1043" s="193"/>
      <c r="I1043" s="193"/>
      <c r="K1043" s="193"/>
      <c r="O1043" s="339"/>
    </row>
    <row r="1044" spans="1:33" ht="14.25" customHeight="1">
      <c r="A1044" s="190"/>
      <c r="C1044" s="193"/>
      <c r="E1044" s="193"/>
      <c r="G1044" s="193"/>
      <c r="I1044" s="193"/>
      <c r="K1044" s="193"/>
      <c r="O1044" s="339"/>
    </row>
    <row r="1045" spans="1:33" ht="14.25" customHeight="1">
      <c r="A1045" s="201"/>
      <c r="C1045" s="193" t="s">
        <v>75</v>
      </c>
      <c r="E1045" s="193" t="s">
        <v>76</v>
      </c>
      <c r="G1045" s="193" t="s">
        <v>77</v>
      </c>
      <c r="O1045" s="339"/>
    </row>
    <row r="1046" spans="1:33" ht="14.25" customHeight="1">
      <c r="A1046" s="201"/>
      <c r="B1046" s="128" t="s">
        <v>451</v>
      </c>
      <c r="C1046" s="197">
        <f>C477</f>
        <v>132.19999999999999</v>
      </c>
      <c r="D1046" s="128" t="s">
        <v>78</v>
      </c>
      <c r="E1046" s="193">
        <v>0.1</v>
      </c>
      <c r="F1046" s="128" t="s">
        <v>79</v>
      </c>
      <c r="G1046" s="193">
        <f>C1046*E1046</f>
        <v>13.219999999999999</v>
      </c>
      <c r="H1046" s="128" t="s">
        <v>42</v>
      </c>
      <c r="I1046" s="193"/>
      <c r="O1046" s="339"/>
    </row>
    <row r="1047" spans="1:33">
      <c r="A1047" s="201"/>
      <c r="B1047" s="191"/>
      <c r="C1047" s="192"/>
      <c r="D1047" s="191"/>
      <c r="E1047" s="193"/>
      <c r="G1047" s="193"/>
      <c r="I1047" s="193"/>
      <c r="O1047" s="339"/>
    </row>
    <row r="1048" spans="1:33" ht="14.25" customHeight="1">
      <c r="A1048" s="190"/>
      <c r="B1048" s="191" t="s">
        <v>92</v>
      </c>
      <c r="C1048" s="192">
        <f>C1043+G1046</f>
        <v>146.94500000000002</v>
      </c>
      <c r="D1048" s="191" t="s">
        <v>42</v>
      </c>
      <c r="E1048" s="193"/>
      <c r="G1048" s="193"/>
      <c r="O1048" s="339"/>
      <c r="S1048" s="129"/>
      <c r="T1048" s="129"/>
      <c r="U1048" s="129"/>
      <c r="V1048" s="129"/>
      <c r="W1048" s="129"/>
      <c r="X1048" s="129"/>
      <c r="Y1048" s="129"/>
      <c r="Z1048" s="129"/>
      <c r="AA1048" s="129"/>
      <c r="AB1048" s="129"/>
      <c r="AC1048" s="129"/>
      <c r="AD1048" s="129"/>
      <c r="AE1048" s="129"/>
      <c r="AF1048" s="129"/>
      <c r="AG1048" s="129"/>
    </row>
    <row r="1049" spans="1:33" ht="14.25" customHeight="1">
      <c r="A1049" s="194"/>
      <c r="B1049" s="276"/>
      <c r="C1049" s="277"/>
      <c r="D1049" s="276"/>
      <c r="E1049" s="276"/>
      <c r="F1049" s="246"/>
      <c r="G1049" s="246"/>
      <c r="H1049" s="246"/>
      <c r="I1049" s="246"/>
      <c r="J1049" s="246"/>
      <c r="K1049" s="246"/>
      <c r="L1049" s="246"/>
      <c r="M1049" s="246"/>
      <c r="N1049" s="246"/>
      <c r="O1049" s="257"/>
      <c r="P1049" s="339"/>
    </row>
    <row r="1050" spans="1:33">
      <c r="A1050" s="245" t="s">
        <v>441</v>
      </c>
      <c r="B1050" s="544" t="s">
        <v>458</v>
      </c>
      <c r="C1050" s="550"/>
      <c r="D1050" s="550"/>
      <c r="E1050" s="550"/>
      <c r="F1050" s="550"/>
      <c r="G1050" s="550"/>
      <c r="H1050" s="550"/>
      <c r="I1050" s="550"/>
      <c r="J1050" s="550"/>
      <c r="K1050" s="550"/>
      <c r="L1050" s="550"/>
      <c r="M1050" s="550"/>
      <c r="N1050" s="550"/>
      <c r="O1050" s="346" t="s">
        <v>1022</v>
      </c>
      <c r="P1050" s="350" t="s">
        <v>74</v>
      </c>
      <c r="Q1050" s="129"/>
    </row>
    <row r="1051" spans="1:33" ht="14.25" customHeight="1">
      <c r="A1051" s="195"/>
      <c r="B1051" s="263"/>
      <c r="C1051" s="196"/>
      <c r="D1051" s="196"/>
      <c r="E1051" s="196"/>
      <c r="F1051" s="196"/>
      <c r="G1051" s="196"/>
      <c r="H1051" s="196"/>
      <c r="I1051" s="196"/>
      <c r="J1051" s="196"/>
      <c r="K1051" s="196"/>
      <c r="L1051" s="196"/>
      <c r="M1051" s="196"/>
      <c r="N1051" s="196"/>
      <c r="O1051" s="252"/>
      <c r="P1051" s="347"/>
      <c r="Q1051" s="129"/>
    </row>
    <row r="1052" spans="1:33" ht="14.25" customHeight="1">
      <c r="A1052" s="190"/>
      <c r="B1052" s="191"/>
      <c r="C1052" s="128" t="s">
        <v>77</v>
      </c>
      <c r="J1052" s="193"/>
      <c r="L1052" s="193"/>
      <c r="O1052" s="339"/>
      <c r="P1052" s="347"/>
      <c r="Q1052" s="129"/>
      <c r="R1052" s="129"/>
      <c r="S1052" s="129"/>
      <c r="T1052" s="129"/>
      <c r="U1052" s="129"/>
      <c r="V1052" s="129"/>
      <c r="W1052" s="129"/>
      <c r="X1052" s="129"/>
      <c r="Y1052" s="129"/>
      <c r="Z1052" s="129"/>
      <c r="AA1052" s="129"/>
      <c r="AB1052" s="129"/>
      <c r="AC1052" s="129"/>
      <c r="AD1052" s="129"/>
      <c r="AE1052" s="129"/>
      <c r="AF1052" s="129"/>
      <c r="AG1052" s="129"/>
    </row>
    <row r="1053" spans="1:33" ht="14.25" customHeight="1">
      <c r="A1053" s="199"/>
      <c r="B1053" s="128" t="s">
        <v>1243</v>
      </c>
      <c r="C1053" s="193">
        <v>54.49</v>
      </c>
      <c r="D1053" s="128" t="s">
        <v>42</v>
      </c>
      <c r="E1053" s="193"/>
      <c r="G1053" s="193"/>
      <c r="I1053" s="129"/>
      <c r="J1053" s="187"/>
      <c r="K1053" s="129"/>
      <c r="L1053" s="129"/>
      <c r="M1053" s="129"/>
      <c r="N1053" s="129"/>
      <c r="O1053" s="358"/>
      <c r="P1053" s="347"/>
      <c r="Q1053" s="129"/>
      <c r="R1053" s="129"/>
      <c r="S1053" s="129"/>
      <c r="T1053" s="129"/>
      <c r="U1053" s="129"/>
      <c r="V1053" s="129"/>
      <c r="W1053" s="129"/>
      <c r="X1053" s="129"/>
      <c r="Y1053" s="129"/>
      <c r="Z1053" s="129"/>
      <c r="AA1053" s="129"/>
      <c r="AB1053" s="129"/>
      <c r="AC1053" s="129"/>
      <c r="AD1053" s="129"/>
      <c r="AE1053" s="129"/>
      <c r="AF1053" s="129"/>
      <c r="AG1053" s="129"/>
    </row>
    <row r="1054" spans="1:33" ht="14.25" customHeight="1">
      <c r="A1054" s="199"/>
      <c r="B1054" s="128" t="s">
        <v>1244</v>
      </c>
      <c r="C1054" s="193">
        <v>71.150000000000006</v>
      </c>
      <c r="D1054" s="128" t="s">
        <v>42</v>
      </c>
      <c r="E1054" s="193"/>
      <c r="G1054" s="193"/>
      <c r="I1054" s="129"/>
      <c r="J1054" s="187"/>
      <c r="K1054" s="129"/>
      <c r="L1054" s="129"/>
      <c r="M1054" s="129"/>
      <c r="N1054" s="129"/>
      <c r="O1054" s="358"/>
      <c r="P1054" s="347"/>
      <c r="Q1054" s="129"/>
      <c r="R1054" s="129"/>
      <c r="S1054" s="129"/>
      <c r="T1054" s="129"/>
      <c r="U1054" s="129"/>
      <c r="V1054" s="129"/>
      <c r="W1054" s="129"/>
      <c r="X1054" s="129"/>
      <c r="Y1054" s="129"/>
      <c r="Z1054" s="129"/>
      <c r="AA1054" s="129"/>
      <c r="AB1054" s="129"/>
      <c r="AC1054" s="129"/>
      <c r="AD1054" s="129"/>
      <c r="AE1054" s="129"/>
      <c r="AF1054" s="129"/>
      <c r="AG1054" s="129"/>
    </row>
    <row r="1055" spans="1:33" ht="14.25" customHeight="1">
      <c r="A1055" s="199"/>
      <c r="B1055" s="128" t="s">
        <v>1245</v>
      </c>
      <c r="C1055" s="193">
        <v>84.29</v>
      </c>
      <c r="D1055" s="128" t="s">
        <v>42</v>
      </c>
      <c r="E1055" s="193"/>
      <c r="G1055" s="193"/>
      <c r="I1055" s="129"/>
      <c r="J1055" s="187"/>
      <c r="K1055" s="129"/>
      <c r="L1055" s="129"/>
      <c r="M1055" s="129"/>
      <c r="N1055" s="129"/>
      <c r="O1055" s="358"/>
      <c r="P1055" s="347"/>
      <c r="Q1055" s="129"/>
      <c r="R1055" s="129"/>
      <c r="S1055" s="129"/>
      <c r="T1055" s="129"/>
      <c r="U1055" s="129"/>
      <c r="V1055" s="129"/>
      <c r="W1055" s="129"/>
      <c r="X1055" s="129"/>
      <c r="Y1055" s="129"/>
      <c r="Z1055" s="129"/>
      <c r="AA1055" s="129"/>
      <c r="AB1055" s="129"/>
      <c r="AC1055" s="129"/>
      <c r="AD1055" s="129"/>
      <c r="AE1055" s="129"/>
      <c r="AF1055" s="129"/>
      <c r="AG1055" s="129"/>
    </row>
    <row r="1056" spans="1:33" ht="14.25" customHeight="1">
      <c r="A1056" s="199"/>
      <c r="B1056" s="128" t="s">
        <v>1246</v>
      </c>
      <c r="C1056" s="193">
        <v>61.87</v>
      </c>
      <c r="D1056" s="128" t="s">
        <v>42</v>
      </c>
      <c r="E1056" s="193"/>
      <c r="G1056" s="193"/>
      <c r="I1056" s="129"/>
      <c r="J1056" s="187"/>
      <c r="K1056" s="129"/>
      <c r="L1056" s="129"/>
      <c r="M1056" s="129"/>
      <c r="N1056" s="129"/>
      <c r="O1056" s="358"/>
      <c r="P1056" s="347"/>
      <c r="Q1056" s="129"/>
      <c r="R1056" s="129"/>
      <c r="S1056" s="129"/>
      <c r="T1056" s="129"/>
      <c r="U1056" s="129"/>
      <c r="V1056" s="129"/>
      <c r="W1056" s="129"/>
      <c r="X1056" s="129"/>
      <c r="Y1056" s="129"/>
      <c r="Z1056" s="129"/>
      <c r="AA1056" s="129"/>
      <c r="AB1056" s="129"/>
      <c r="AC1056" s="129"/>
      <c r="AD1056" s="129"/>
      <c r="AE1056" s="129"/>
      <c r="AF1056" s="129"/>
      <c r="AG1056" s="129"/>
    </row>
    <row r="1057" spans="1:33" ht="14.25" customHeight="1">
      <c r="A1057" s="199"/>
      <c r="B1057" s="128" t="s">
        <v>1247</v>
      </c>
      <c r="C1057" s="193">
        <v>48.78</v>
      </c>
      <c r="D1057" s="128" t="s">
        <v>42</v>
      </c>
      <c r="E1057" s="193"/>
      <c r="G1057" s="193"/>
      <c r="I1057" s="129"/>
      <c r="J1057" s="187"/>
      <c r="K1057" s="129"/>
      <c r="L1057" s="129"/>
      <c r="M1057" s="129"/>
      <c r="N1057" s="129"/>
      <c r="O1057" s="358"/>
      <c r="P1057" s="347"/>
      <c r="Q1057" s="129"/>
      <c r="R1057" s="129"/>
      <c r="S1057" s="129"/>
      <c r="T1057" s="129"/>
      <c r="U1057" s="129"/>
      <c r="V1057" s="129"/>
      <c r="W1057" s="129"/>
      <c r="X1057" s="129"/>
      <c r="Y1057" s="129"/>
      <c r="Z1057" s="129"/>
      <c r="AA1057" s="129"/>
      <c r="AB1057" s="129"/>
      <c r="AC1057" s="129"/>
      <c r="AD1057" s="129"/>
      <c r="AE1057" s="129"/>
      <c r="AF1057" s="129"/>
      <c r="AG1057" s="129"/>
    </row>
    <row r="1058" spans="1:33" ht="14.25" customHeight="1">
      <c r="A1058" s="199"/>
      <c r="B1058" s="128" t="s">
        <v>1248</v>
      </c>
      <c r="C1058" s="193">
        <v>17.21</v>
      </c>
      <c r="D1058" s="128" t="s">
        <v>42</v>
      </c>
      <c r="E1058" s="193"/>
      <c r="G1058" s="193"/>
      <c r="I1058" s="129"/>
      <c r="J1058" s="187"/>
      <c r="K1058" s="129"/>
      <c r="L1058" s="129"/>
      <c r="M1058" s="129"/>
      <c r="N1058" s="129"/>
      <c r="O1058" s="358"/>
      <c r="P1058" s="347"/>
      <c r="Q1058" s="129"/>
      <c r="R1058" s="129"/>
      <c r="S1058" s="129"/>
      <c r="T1058" s="129"/>
      <c r="U1058" s="129"/>
      <c r="V1058" s="129"/>
      <c r="W1058" s="129"/>
      <c r="X1058" s="129"/>
      <c r="Y1058" s="129"/>
      <c r="Z1058" s="129"/>
      <c r="AA1058" s="129"/>
      <c r="AB1058" s="129"/>
      <c r="AC1058" s="129"/>
      <c r="AD1058" s="129"/>
      <c r="AE1058" s="129"/>
      <c r="AF1058" s="129"/>
      <c r="AG1058" s="129"/>
    </row>
    <row r="1059" spans="1:33" ht="14.25" customHeight="1">
      <c r="A1059" s="199"/>
      <c r="C1059" s="193"/>
      <c r="E1059" s="193"/>
      <c r="G1059" s="193"/>
      <c r="I1059" s="129"/>
      <c r="J1059" s="187"/>
      <c r="K1059" s="129"/>
      <c r="L1059" s="129"/>
      <c r="M1059" s="129"/>
      <c r="N1059" s="129"/>
      <c r="O1059" s="358"/>
      <c r="P1059" s="347"/>
      <c r="Q1059" s="129"/>
      <c r="R1059" s="129"/>
      <c r="S1059" s="129"/>
      <c r="T1059" s="129"/>
      <c r="U1059" s="129"/>
      <c r="V1059" s="129"/>
      <c r="W1059" s="129"/>
      <c r="X1059" s="129"/>
      <c r="Y1059" s="129"/>
      <c r="Z1059" s="129"/>
      <c r="AA1059" s="129"/>
      <c r="AB1059" s="129"/>
      <c r="AC1059" s="129"/>
      <c r="AD1059" s="129"/>
      <c r="AE1059" s="129"/>
      <c r="AF1059" s="129"/>
      <c r="AG1059" s="129"/>
    </row>
    <row r="1060" spans="1:33" s="191" customFormat="1" ht="14.25" customHeight="1">
      <c r="A1060" s="260"/>
      <c r="B1060" s="191" t="s">
        <v>92</v>
      </c>
      <c r="C1060" s="192">
        <f>SUM(C1053:C1058)</f>
        <v>337.79</v>
      </c>
      <c r="D1060" s="191" t="s">
        <v>42</v>
      </c>
      <c r="E1060" s="192"/>
      <c r="G1060" s="192"/>
      <c r="I1060" s="261"/>
      <c r="J1060" s="200"/>
      <c r="K1060" s="261"/>
      <c r="L1060" s="261"/>
      <c r="M1060" s="261"/>
      <c r="N1060" s="261"/>
      <c r="O1060" s="370"/>
      <c r="P1060" s="371"/>
      <c r="Q1060" s="261"/>
      <c r="R1060" s="261"/>
      <c r="S1060" s="261"/>
      <c r="T1060" s="261"/>
      <c r="U1060" s="261"/>
      <c r="V1060" s="261"/>
      <c r="W1060" s="261"/>
      <c r="X1060" s="261"/>
      <c r="Y1060" s="261"/>
      <c r="Z1060" s="261"/>
      <c r="AA1060" s="261"/>
      <c r="AB1060" s="261"/>
      <c r="AC1060" s="261"/>
      <c r="AD1060" s="261"/>
      <c r="AE1060" s="261"/>
      <c r="AF1060" s="261"/>
      <c r="AG1060" s="261"/>
    </row>
    <row r="1061" spans="1:33" ht="14.25" customHeight="1">
      <c r="A1061" s="199"/>
      <c r="B1061" s="191"/>
      <c r="C1061" s="193"/>
      <c r="E1061" s="193"/>
      <c r="G1061" s="193"/>
      <c r="I1061" s="129"/>
      <c r="J1061" s="187"/>
      <c r="K1061" s="129"/>
      <c r="L1061" s="129"/>
      <c r="M1061" s="129"/>
      <c r="N1061" s="129"/>
      <c r="O1061" s="358"/>
      <c r="P1061" s="347"/>
      <c r="Q1061" s="129"/>
      <c r="R1061" s="129"/>
      <c r="S1061" s="129"/>
      <c r="T1061" s="129"/>
      <c r="U1061" s="129"/>
      <c r="V1061" s="129"/>
      <c r="W1061" s="129"/>
      <c r="X1061" s="129"/>
      <c r="Y1061" s="129"/>
      <c r="Z1061" s="129"/>
      <c r="AA1061" s="129"/>
      <c r="AB1061" s="129"/>
      <c r="AC1061" s="129"/>
      <c r="AD1061" s="129"/>
      <c r="AE1061" s="129"/>
      <c r="AF1061" s="129"/>
      <c r="AG1061" s="129"/>
    </row>
    <row r="1062" spans="1:33">
      <c r="A1062" s="245" t="s">
        <v>442</v>
      </c>
      <c r="B1062" s="544" t="s">
        <v>1151</v>
      </c>
      <c r="C1062" s="550"/>
      <c r="D1062" s="550"/>
      <c r="E1062" s="550"/>
      <c r="F1062" s="550"/>
      <c r="G1062" s="550"/>
      <c r="H1062" s="550"/>
      <c r="I1062" s="550"/>
      <c r="J1062" s="550"/>
      <c r="K1062" s="550"/>
      <c r="L1062" s="550"/>
      <c r="M1062" s="550"/>
      <c r="N1062" s="550"/>
      <c r="O1062" s="346">
        <v>88489</v>
      </c>
      <c r="P1062" s="350"/>
      <c r="Q1062" s="129"/>
    </row>
    <row r="1063" spans="1:33" ht="14.25" customHeight="1">
      <c r="A1063" s="195"/>
      <c r="B1063" s="263"/>
      <c r="C1063" s="196"/>
      <c r="D1063" s="196"/>
      <c r="E1063" s="196"/>
      <c r="F1063" s="196"/>
      <c r="G1063" s="196"/>
      <c r="H1063" s="196"/>
      <c r="I1063" s="196"/>
      <c r="J1063" s="196"/>
      <c r="K1063" s="196"/>
      <c r="L1063" s="196"/>
      <c r="M1063" s="196"/>
      <c r="N1063" s="196"/>
      <c r="O1063" s="252"/>
      <c r="P1063" s="347"/>
      <c r="Q1063" s="129"/>
    </row>
    <row r="1064" spans="1:33" ht="14.25" customHeight="1">
      <c r="A1064" s="190"/>
      <c r="B1064" s="191" t="s">
        <v>493</v>
      </c>
      <c r="C1064" s="128" t="s">
        <v>75</v>
      </c>
      <c r="E1064" s="128" t="s">
        <v>76</v>
      </c>
      <c r="G1064" s="128" t="s">
        <v>87</v>
      </c>
      <c r="I1064" s="128" t="s">
        <v>129</v>
      </c>
      <c r="K1064" s="128" t="s">
        <v>77</v>
      </c>
      <c r="O1064" s="339"/>
      <c r="P1064" s="347"/>
      <c r="Q1064" s="129"/>
      <c r="R1064" s="129"/>
      <c r="S1064" s="129"/>
      <c r="T1064" s="129"/>
      <c r="U1064" s="129"/>
      <c r="V1064" s="129"/>
      <c r="W1064" s="129"/>
      <c r="X1064" s="129"/>
      <c r="Y1064" s="129"/>
      <c r="Z1064" s="129"/>
      <c r="AA1064" s="129"/>
      <c r="AB1064" s="129"/>
      <c r="AC1064" s="129"/>
      <c r="AD1064" s="129"/>
      <c r="AE1064" s="129"/>
      <c r="AF1064" s="129"/>
      <c r="AG1064" s="129"/>
    </row>
    <row r="1065" spans="1:33" ht="14.25" customHeight="1">
      <c r="A1065" s="199"/>
      <c r="B1065" s="128" t="s">
        <v>1184</v>
      </c>
      <c r="C1065" s="193">
        <f t="shared" ref="C1065:E1069" si="18">C443</f>
        <v>2.6</v>
      </c>
      <c r="D1065" s="193" t="str">
        <f t="shared" si="18"/>
        <v>m  x</v>
      </c>
      <c r="E1065" s="193">
        <f t="shared" si="18"/>
        <v>2.25</v>
      </c>
      <c r="F1065" s="128" t="s">
        <v>78</v>
      </c>
      <c r="G1065" s="193">
        <f>G443</f>
        <v>1</v>
      </c>
      <c r="H1065" s="128" t="s">
        <v>130</v>
      </c>
      <c r="I1065" s="193">
        <v>2.5</v>
      </c>
      <c r="J1065" s="128" t="s">
        <v>95</v>
      </c>
      <c r="K1065" s="193">
        <f>C1065*E1065*G1065*I1065</f>
        <v>14.625000000000002</v>
      </c>
      <c r="L1065" s="128" t="s">
        <v>42</v>
      </c>
      <c r="M1065" s="129"/>
      <c r="N1065" s="129"/>
      <c r="O1065" s="358"/>
      <c r="P1065" s="347"/>
      <c r="Q1065" s="129"/>
      <c r="R1065" s="129"/>
      <c r="S1065" s="129"/>
      <c r="T1065" s="129"/>
      <c r="U1065" s="129"/>
      <c r="V1065" s="129"/>
      <c r="W1065" s="129"/>
      <c r="X1065" s="129"/>
      <c r="Y1065" s="129"/>
      <c r="Z1065" s="129"/>
      <c r="AA1065" s="129"/>
      <c r="AB1065" s="129"/>
      <c r="AC1065" s="129"/>
      <c r="AD1065" s="129"/>
      <c r="AE1065" s="129"/>
      <c r="AF1065" s="129"/>
      <c r="AG1065" s="129"/>
    </row>
    <row r="1066" spans="1:33" ht="14.25" customHeight="1">
      <c r="A1066" s="199"/>
      <c r="B1066" s="128" t="s">
        <v>1249</v>
      </c>
      <c r="C1066" s="193">
        <f t="shared" si="18"/>
        <v>10.799999999999999</v>
      </c>
      <c r="D1066" s="193" t="str">
        <f t="shared" si="18"/>
        <v>m  x</v>
      </c>
      <c r="E1066" s="193">
        <f t="shared" si="18"/>
        <v>2</v>
      </c>
      <c r="F1066" s="128" t="s">
        <v>78</v>
      </c>
      <c r="G1066" s="193">
        <f>G444</f>
        <v>3</v>
      </c>
      <c r="H1066" s="128" t="s">
        <v>130</v>
      </c>
      <c r="I1066" s="193">
        <v>2.5</v>
      </c>
      <c r="J1066" s="128" t="s">
        <v>95</v>
      </c>
      <c r="K1066" s="193">
        <f t="shared" ref="K1066:K1069" si="19">C1066*E1066*G1066*I1066</f>
        <v>162</v>
      </c>
      <c r="L1066" s="128" t="s">
        <v>42</v>
      </c>
      <c r="M1066" s="129"/>
      <c r="N1066" s="129"/>
      <c r="O1066" s="358"/>
      <c r="P1066" s="347"/>
      <c r="Q1066" s="129"/>
      <c r="R1066" s="129"/>
      <c r="S1066" s="129"/>
      <c r="T1066" s="129"/>
      <c r="U1066" s="129"/>
      <c r="V1066" s="129"/>
      <c r="W1066" s="129"/>
      <c r="X1066" s="129"/>
      <c r="Y1066" s="129"/>
      <c r="Z1066" s="129"/>
      <c r="AA1066" s="129"/>
      <c r="AB1066" s="129"/>
      <c r="AC1066" s="129"/>
      <c r="AD1066" s="129"/>
      <c r="AE1066" s="129"/>
      <c r="AF1066" s="129"/>
      <c r="AG1066" s="129"/>
    </row>
    <row r="1067" spans="1:33" ht="14.25" customHeight="1">
      <c r="A1067" s="199"/>
      <c r="B1067" s="128" t="s">
        <v>1250</v>
      </c>
      <c r="C1067" s="193">
        <f t="shared" si="18"/>
        <v>12</v>
      </c>
      <c r="D1067" s="193" t="str">
        <f t="shared" si="18"/>
        <v>m  x</v>
      </c>
      <c r="E1067" s="193">
        <f t="shared" si="18"/>
        <v>2</v>
      </c>
      <c r="F1067" s="128" t="s">
        <v>78</v>
      </c>
      <c r="G1067" s="193">
        <f>G445</f>
        <v>1</v>
      </c>
      <c r="H1067" s="128" t="s">
        <v>130</v>
      </c>
      <c r="I1067" s="193">
        <v>2.5</v>
      </c>
      <c r="J1067" s="128" t="s">
        <v>95</v>
      </c>
      <c r="K1067" s="193">
        <f t="shared" si="19"/>
        <v>60</v>
      </c>
      <c r="L1067" s="128" t="s">
        <v>42</v>
      </c>
      <c r="M1067" s="129"/>
      <c r="N1067" s="129"/>
      <c r="O1067" s="358"/>
      <c r="P1067" s="347"/>
      <c r="Q1067" s="129"/>
      <c r="R1067" s="129"/>
      <c r="S1067" s="129"/>
      <c r="T1067" s="129"/>
      <c r="U1067" s="129"/>
      <c r="V1067" s="129"/>
      <c r="W1067" s="129"/>
      <c r="X1067" s="129"/>
      <c r="Y1067" s="129"/>
      <c r="Z1067" s="129"/>
      <c r="AA1067" s="129"/>
      <c r="AB1067" s="129"/>
      <c r="AC1067" s="129"/>
      <c r="AD1067" s="129"/>
      <c r="AE1067" s="129"/>
      <c r="AF1067" s="129"/>
      <c r="AG1067" s="129"/>
    </row>
    <row r="1068" spans="1:33" ht="14.25" customHeight="1">
      <c r="A1068" s="199"/>
      <c r="B1068" s="128" t="s">
        <v>1251</v>
      </c>
      <c r="C1068" s="193">
        <f t="shared" si="18"/>
        <v>1.6</v>
      </c>
      <c r="D1068" s="193" t="str">
        <f t="shared" si="18"/>
        <v>m  x</v>
      </c>
      <c r="E1068" s="193">
        <f t="shared" si="18"/>
        <v>3.6</v>
      </c>
      <c r="F1068" s="128" t="s">
        <v>78</v>
      </c>
      <c r="G1068" s="193">
        <f>G446</f>
        <v>2</v>
      </c>
      <c r="H1068" s="128" t="s">
        <v>130</v>
      </c>
      <c r="I1068" s="193">
        <v>2.5</v>
      </c>
      <c r="J1068" s="128" t="s">
        <v>95</v>
      </c>
      <c r="K1068" s="193">
        <f t="shared" si="19"/>
        <v>28.800000000000004</v>
      </c>
      <c r="L1068" s="128" t="s">
        <v>42</v>
      </c>
      <c r="M1068" s="129"/>
      <c r="N1068" s="129"/>
      <c r="O1068" s="358"/>
      <c r="P1068" s="347"/>
      <c r="Q1068" s="129"/>
      <c r="R1068" s="129"/>
      <c r="S1068" s="129"/>
      <c r="T1068" s="129"/>
      <c r="U1068" s="129"/>
      <c r="V1068" s="129"/>
      <c r="W1068" s="129"/>
      <c r="X1068" s="129"/>
      <c r="Y1068" s="129"/>
      <c r="Z1068" s="129"/>
      <c r="AA1068" s="129"/>
      <c r="AB1068" s="129"/>
      <c r="AC1068" s="129"/>
      <c r="AD1068" s="129"/>
      <c r="AE1068" s="129"/>
      <c r="AF1068" s="129"/>
      <c r="AG1068" s="129"/>
    </row>
    <row r="1069" spans="1:33" ht="14.25" customHeight="1">
      <c r="A1069" s="199"/>
      <c r="B1069" s="128" t="s">
        <v>1252</v>
      </c>
      <c r="C1069" s="193">
        <f t="shared" si="18"/>
        <v>2.4</v>
      </c>
      <c r="D1069" s="193" t="str">
        <f t="shared" si="18"/>
        <v>m  x</v>
      </c>
      <c r="E1069" s="193">
        <f t="shared" si="18"/>
        <v>0.8</v>
      </c>
      <c r="F1069" s="128" t="s">
        <v>78</v>
      </c>
      <c r="G1069" s="193">
        <f>G447</f>
        <v>1</v>
      </c>
      <c r="H1069" s="128" t="s">
        <v>130</v>
      </c>
      <c r="I1069" s="193">
        <v>2.5</v>
      </c>
      <c r="J1069" s="128" t="s">
        <v>95</v>
      </c>
      <c r="K1069" s="193">
        <f t="shared" si="19"/>
        <v>4.8</v>
      </c>
      <c r="L1069" s="128" t="s">
        <v>42</v>
      </c>
      <c r="M1069" s="129"/>
      <c r="N1069" s="129"/>
      <c r="O1069" s="358"/>
      <c r="P1069" s="347"/>
      <c r="Q1069" s="129"/>
      <c r="R1069" s="129"/>
      <c r="S1069" s="129"/>
      <c r="T1069" s="129"/>
      <c r="U1069" s="129"/>
      <c r="V1069" s="129"/>
      <c r="W1069" s="129"/>
      <c r="X1069" s="129"/>
      <c r="Y1069" s="129"/>
      <c r="Z1069" s="129"/>
      <c r="AA1069" s="129"/>
      <c r="AB1069" s="129"/>
      <c r="AC1069" s="129"/>
      <c r="AD1069" s="129"/>
      <c r="AE1069" s="129"/>
      <c r="AF1069" s="129"/>
      <c r="AG1069" s="129"/>
    </row>
    <row r="1070" spans="1:33" ht="14.25" customHeight="1">
      <c r="A1070" s="199"/>
      <c r="C1070" s="193"/>
      <c r="E1070" s="193"/>
      <c r="I1070" s="193"/>
      <c r="K1070" s="129"/>
      <c r="L1070" s="187"/>
      <c r="M1070" s="129"/>
      <c r="N1070" s="129"/>
      <c r="O1070" s="358"/>
      <c r="P1070" s="347"/>
      <c r="Q1070" s="129"/>
      <c r="R1070" s="129"/>
      <c r="S1070" s="129"/>
      <c r="T1070" s="129"/>
      <c r="U1070" s="129"/>
      <c r="V1070" s="129"/>
      <c r="W1070" s="129"/>
      <c r="X1070" s="129"/>
      <c r="Y1070" s="129"/>
      <c r="Z1070" s="129"/>
      <c r="AA1070" s="129"/>
      <c r="AB1070" s="129"/>
      <c r="AC1070" s="129"/>
      <c r="AD1070" s="129"/>
      <c r="AE1070" s="129"/>
      <c r="AF1070" s="129"/>
      <c r="AG1070" s="129"/>
    </row>
    <row r="1071" spans="1:33" ht="14.25" customHeight="1">
      <c r="A1071" s="199"/>
      <c r="B1071" s="191" t="s">
        <v>92</v>
      </c>
      <c r="C1071" s="192">
        <f>SUM(K1065:K1069)</f>
        <v>270.22500000000002</v>
      </c>
      <c r="D1071" s="191" t="s">
        <v>494</v>
      </c>
      <c r="E1071" s="193"/>
      <c r="G1071" s="193"/>
      <c r="I1071" s="129"/>
      <c r="J1071" s="187"/>
      <c r="K1071" s="129"/>
      <c r="L1071" s="129"/>
      <c r="M1071" s="129"/>
      <c r="N1071" s="129"/>
      <c r="O1071" s="358"/>
      <c r="P1071" s="347"/>
      <c r="Q1071" s="129"/>
      <c r="R1071" s="129"/>
      <c r="S1071" s="129"/>
      <c r="T1071" s="129"/>
      <c r="U1071" s="129"/>
      <c r="V1071" s="129"/>
      <c r="W1071" s="129"/>
      <c r="X1071" s="129"/>
      <c r="Y1071" s="129"/>
      <c r="Z1071" s="129"/>
      <c r="AA1071" s="129"/>
      <c r="AB1071" s="129"/>
      <c r="AC1071" s="129"/>
      <c r="AD1071" s="129"/>
      <c r="AE1071" s="129"/>
      <c r="AF1071" s="129"/>
      <c r="AG1071" s="129"/>
    </row>
    <row r="1072" spans="1:33" ht="14.25" customHeight="1">
      <c r="A1072" s="199"/>
      <c r="C1072" s="193"/>
      <c r="E1072" s="193"/>
      <c r="G1072" s="193"/>
      <c r="I1072" s="129"/>
      <c r="J1072" s="187"/>
      <c r="K1072" s="129"/>
      <c r="L1072" s="129"/>
      <c r="M1072" s="129"/>
      <c r="N1072" s="129"/>
      <c r="O1072" s="358"/>
      <c r="P1072" s="347"/>
      <c r="Q1072" s="129"/>
      <c r="R1072" s="129"/>
      <c r="S1072" s="129"/>
      <c r="T1072" s="129"/>
      <c r="U1072" s="129"/>
      <c r="V1072" s="129"/>
      <c r="W1072" s="129"/>
      <c r="X1072" s="129"/>
      <c r="Y1072" s="129"/>
      <c r="Z1072" s="129"/>
      <c r="AA1072" s="129"/>
      <c r="AB1072" s="129"/>
      <c r="AC1072" s="129"/>
      <c r="AD1072" s="129"/>
      <c r="AE1072" s="129"/>
      <c r="AF1072" s="129"/>
      <c r="AG1072" s="129"/>
    </row>
    <row r="1073" spans="1:33" customFormat="1" ht="14.25" customHeight="1">
      <c r="A1073" s="278" t="s">
        <v>443</v>
      </c>
      <c r="B1073" s="560" t="s">
        <v>1166</v>
      </c>
      <c r="C1073" s="547"/>
      <c r="D1073" s="547"/>
      <c r="E1073" s="547"/>
      <c r="F1073" s="547"/>
      <c r="G1073" s="547"/>
      <c r="H1073" s="547"/>
      <c r="I1073" s="547"/>
      <c r="J1073" s="547"/>
      <c r="K1073" s="547"/>
      <c r="L1073" s="547"/>
      <c r="M1073" s="547"/>
      <c r="N1073" s="547"/>
      <c r="O1073" s="381">
        <v>102520</v>
      </c>
      <c r="P1073" s="364"/>
      <c r="Q1073" s="25"/>
      <c r="R1073" s="25"/>
      <c r="S1073" s="25"/>
      <c r="T1073" s="25"/>
      <c r="U1073" s="25"/>
      <c r="V1073" s="25"/>
      <c r="W1073" s="25"/>
      <c r="X1073" s="25"/>
      <c r="Y1073" s="25"/>
      <c r="Z1073" s="25"/>
      <c r="AA1073" s="25"/>
      <c r="AB1073" s="25"/>
      <c r="AC1073" s="25"/>
      <c r="AD1073" s="25"/>
      <c r="AE1073" s="25"/>
      <c r="AF1073" s="25"/>
      <c r="AG1073" s="25"/>
    </row>
    <row r="1074" spans="1:33" ht="14.25" customHeight="1">
      <c r="A1074" s="194"/>
      <c r="B1074" s="246"/>
      <c r="C1074" s="246"/>
      <c r="D1074" s="246"/>
      <c r="G1074" s="193"/>
      <c r="I1074" s="246"/>
      <c r="J1074" s="246"/>
      <c r="K1074" s="246"/>
      <c r="L1074" s="246"/>
      <c r="M1074" s="246"/>
      <c r="N1074" s="246"/>
      <c r="O1074" s="346"/>
      <c r="P1074" s="350"/>
      <c r="Q1074" s="129"/>
    </row>
    <row r="1075" spans="1:33" s="189" customFormat="1" ht="14.25" customHeight="1">
      <c r="A1075" s="279"/>
      <c r="B1075" s="273" t="s">
        <v>126</v>
      </c>
      <c r="C1075" s="250" t="s">
        <v>77</v>
      </c>
      <c r="E1075" s="252" t="s">
        <v>87</v>
      </c>
      <c r="F1075" s="257"/>
      <c r="G1075" s="252" t="s">
        <v>77</v>
      </c>
      <c r="H1075" s="252"/>
      <c r="O1075" s="339"/>
    </row>
    <row r="1076" spans="1:33" customFormat="1" ht="14.25" customHeight="1">
      <c r="A1076" s="280"/>
      <c r="B1076" s="25" t="s">
        <v>170</v>
      </c>
      <c r="C1076" s="281">
        <f>1.2*1.2</f>
        <v>1.44</v>
      </c>
      <c r="D1076" s="25" t="s">
        <v>103</v>
      </c>
      <c r="E1076" s="281">
        <v>2</v>
      </c>
      <c r="F1076" s="25" t="s">
        <v>95</v>
      </c>
      <c r="G1076" s="281">
        <f>C1076*E1076</f>
        <v>2.88</v>
      </c>
      <c r="H1076" s="25" t="s">
        <v>42</v>
      </c>
      <c r="I1076" s="281"/>
      <c r="J1076" s="25"/>
      <c r="M1076" s="25"/>
      <c r="N1076" s="25"/>
      <c r="O1076" s="382"/>
      <c r="P1076" s="383"/>
      <c r="Q1076" s="25"/>
      <c r="R1076" s="25"/>
      <c r="S1076" s="25"/>
      <c r="T1076" s="25"/>
      <c r="U1076" s="25"/>
      <c r="V1076" s="25"/>
      <c r="W1076" s="25"/>
      <c r="X1076" s="25"/>
      <c r="Y1076" s="25"/>
      <c r="Z1076" s="25"/>
      <c r="AA1076" s="25"/>
      <c r="AB1076" s="25"/>
      <c r="AC1076" s="25"/>
      <c r="AD1076" s="25"/>
      <c r="AE1076" s="25"/>
      <c r="AF1076" s="25"/>
      <c r="AG1076" s="25"/>
    </row>
    <row r="1077" spans="1:33" customFormat="1" ht="14.25" customHeight="1">
      <c r="A1077" s="280"/>
      <c r="B1077" s="25" t="s">
        <v>169</v>
      </c>
      <c r="C1077" s="281">
        <f>1.2+2.288</f>
        <v>3.4879999999999995</v>
      </c>
      <c r="D1077" s="25" t="s">
        <v>103</v>
      </c>
      <c r="E1077" s="281">
        <v>2</v>
      </c>
      <c r="F1077" s="25" t="s">
        <v>95</v>
      </c>
      <c r="G1077" s="281">
        <f t="shared" ref="G1077:G1079" si="20">C1077*E1077</f>
        <v>6.9759999999999991</v>
      </c>
      <c r="H1077" s="25" t="s">
        <v>42</v>
      </c>
      <c r="I1077" s="281"/>
      <c r="J1077" s="25"/>
      <c r="M1077" s="25"/>
      <c r="N1077" s="25"/>
      <c r="O1077" s="382"/>
      <c r="P1077" s="383"/>
      <c r="Q1077" s="25"/>
      <c r="R1077" s="25"/>
      <c r="S1077" s="25"/>
      <c r="T1077" s="25"/>
      <c r="U1077" s="25"/>
      <c r="V1077" s="25"/>
      <c r="W1077" s="25"/>
      <c r="X1077" s="25"/>
      <c r="Y1077" s="25"/>
      <c r="Z1077" s="25"/>
      <c r="AA1077" s="25"/>
      <c r="AB1077" s="25"/>
      <c r="AC1077" s="25"/>
      <c r="AD1077" s="25"/>
      <c r="AE1077" s="25"/>
      <c r="AF1077" s="25"/>
      <c r="AG1077" s="25"/>
    </row>
    <row r="1078" spans="1:33" customFormat="1" ht="14.25" customHeight="1">
      <c r="A1078" s="280"/>
      <c r="B1078" s="25" t="s">
        <v>1167</v>
      </c>
      <c r="C1078" s="281">
        <v>0.5</v>
      </c>
      <c r="D1078" s="25" t="s">
        <v>103</v>
      </c>
      <c r="E1078" s="281">
        <v>2</v>
      </c>
      <c r="F1078" s="25" t="s">
        <v>95</v>
      </c>
      <c r="G1078" s="281">
        <f t="shared" si="20"/>
        <v>1</v>
      </c>
      <c r="H1078" s="25" t="s">
        <v>42</v>
      </c>
      <c r="I1078" s="281"/>
      <c r="J1078" s="25"/>
      <c r="M1078" s="25"/>
      <c r="N1078" s="25"/>
      <c r="O1078" s="382"/>
      <c r="P1078" s="383"/>
      <c r="Q1078" s="25"/>
      <c r="R1078" s="25"/>
      <c r="S1078" s="25"/>
      <c r="T1078" s="25"/>
      <c r="U1078" s="25"/>
      <c r="V1078" s="25"/>
      <c r="W1078" s="25"/>
      <c r="X1078" s="25"/>
      <c r="Y1078" s="25"/>
      <c r="Z1078" s="25"/>
      <c r="AA1078" s="25"/>
      <c r="AB1078" s="25"/>
      <c r="AC1078" s="25"/>
      <c r="AD1078" s="25"/>
      <c r="AE1078" s="25"/>
      <c r="AF1078" s="25"/>
      <c r="AG1078" s="25"/>
    </row>
    <row r="1079" spans="1:33" customFormat="1" ht="14.25" customHeight="1">
      <c r="A1079" s="280"/>
      <c r="B1079" s="25" t="s">
        <v>423</v>
      </c>
      <c r="C1079" s="281">
        <v>0.51500000000000001</v>
      </c>
      <c r="D1079" s="25" t="s">
        <v>103</v>
      </c>
      <c r="E1079" s="281">
        <v>4</v>
      </c>
      <c r="F1079" s="25" t="s">
        <v>95</v>
      </c>
      <c r="G1079" s="281">
        <f t="shared" si="20"/>
        <v>2.06</v>
      </c>
      <c r="H1079" s="25" t="s">
        <v>42</v>
      </c>
      <c r="I1079" s="281"/>
      <c r="J1079" s="25"/>
      <c r="M1079" s="25"/>
      <c r="N1079" s="25"/>
      <c r="O1079" s="382"/>
      <c r="P1079" s="383"/>
      <c r="Q1079" s="25"/>
      <c r="R1079" s="25"/>
      <c r="S1079" s="25"/>
      <c r="T1079" s="25"/>
      <c r="U1079" s="25"/>
      <c r="V1079" s="25"/>
      <c r="W1079" s="25"/>
      <c r="X1079" s="25"/>
      <c r="Y1079" s="25"/>
      <c r="Z1079" s="25"/>
      <c r="AA1079" s="25"/>
      <c r="AB1079" s="25"/>
      <c r="AC1079" s="25"/>
      <c r="AD1079" s="25"/>
      <c r="AE1079" s="25"/>
      <c r="AF1079" s="25"/>
      <c r="AG1079" s="25"/>
    </row>
    <row r="1080" spans="1:33" customFormat="1" ht="14.25" customHeight="1">
      <c r="A1080" s="280"/>
      <c r="B1080" s="25"/>
      <c r="C1080" s="281"/>
      <c r="D1080" s="25"/>
      <c r="E1080" s="281"/>
      <c r="F1080" s="25"/>
      <c r="G1080" s="281"/>
      <c r="H1080" s="25"/>
      <c r="I1080" s="281"/>
      <c r="J1080" s="25"/>
      <c r="K1080" s="281"/>
      <c r="L1080" s="25"/>
      <c r="M1080" s="25"/>
      <c r="N1080" s="25"/>
      <c r="O1080" s="382"/>
      <c r="P1080" s="383"/>
      <c r="Q1080" s="25"/>
      <c r="R1080" s="25"/>
      <c r="S1080" s="25"/>
      <c r="T1080" s="25"/>
      <c r="U1080" s="25"/>
      <c r="V1080" s="25"/>
      <c r="W1080" s="25"/>
      <c r="X1080" s="25"/>
      <c r="Y1080" s="25"/>
      <c r="Z1080" s="25"/>
      <c r="AA1080" s="25"/>
      <c r="AB1080" s="25"/>
      <c r="AC1080" s="25"/>
      <c r="AD1080" s="25"/>
      <c r="AE1080" s="25"/>
      <c r="AF1080" s="25"/>
      <c r="AG1080" s="25"/>
    </row>
    <row r="1081" spans="1:33" customFormat="1" ht="14.25" customHeight="1">
      <c r="A1081" s="280"/>
      <c r="B1081" s="282" t="s">
        <v>92</v>
      </c>
      <c r="C1081" s="283">
        <f>ROUND(SUM(G1076:G1079),2)</f>
        <v>12.92</v>
      </c>
      <c r="D1081" s="282" t="s">
        <v>42</v>
      </c>
      <c r="E1081" s="281"/>
      <c r="F1081" s="25"/>
      <c r="G1081" s="281"/>
      <c r="H1081" s="25"/>
      <c r="I1081" s="25"/>
      <c r="J1081" s="25"/>
      <c r="K1081" s="25"/>
      <c r="L1081" s="25"/>
      <c r="M1081" s="25"/>
      <c r="N1081" s="25"/>
      <c r="O1081" s="382"/>
      <c r="P1081" s="383"/>
      <c r="Q1081" s="25"/>
      <c r="R1081" s="25"/>
      <c r="S1081" s="1"/>
      <c r="T1081" s="1"/>
      <c r="U1081" s="1"/>
      <c r="V1081" s="1"/>
      <c r="W1081" s="1"/>
      <c r="X1081" s="1"/>
      <c r="Y1081" s="1"/>
      <c r="Z1081" s="1"/>
      <c r="AA1081" s="1"/>
      <c r="AB1081" s="1"/>
      <c r="AC1081" s="1"/>
      <c r="AD1081" s="1"/>
      <c r="AE1081" s="1"/>
      <c r="AF1081" s="1"/>
      <c r="AG1081" s="1"/>
    </row>
    <row r="1082" spans="1:33" customFormat="1" ht="14.25" customHeight="1">
      <c r="A1082" s="284"/>
      <c r="B1082" s="285"/>
      <c r="C1082" s="286"/>
      <c r="D1082" s="285"/>
      <c r="E1082" s="285"/>
      <c r="F1082" s="287"/>
      <c r="G1082" s="287"/>
      <c r="H1082" s="287"/>
      <c r="I1082" s="287"/>
      <c r="J1082" s="287"/>
      <c r="K1082" s="287"/>
      <c r="L1082" s="287"/>
      <c r="M1082" s="287"/>
      <c r="N1082" s="287"/>
      <c r="O1082" s="384"/>
      <c r="P1082" s="382"/>
      <c r="Q1082" s="25"/>
      <c r="R1082" s="25"/>
      <c r="S1082" s="25"/>
      <c r="T1082" s="25"/>
      <c r="U1082" s="25"/>
      <c r="V1082" s="25"/>
      <c r="W1082" s="25"/>
      <c r="X1082" s="25"/>
      <c r="Y1082" s="25"/>
      <c r="Z1082" s="25"/>
      <c r="AA1082" s="25"/>
      <c r="AB1082" s="25"/>
      <c r="AC1082" s="25"/>
      <c r="AD1082" s="25"/>
      <c r="AE1082" s="25"/>
      <c r="AF1082" s="25"/>
      <c r="AG1082" s="25"/>
    </row>
    <row r="1083" spans="1:33">
      <c r="A1083" s="245" t="s">
        <v>903</v>
      </c>
      <c r="B1083" s="553" t="s">
        <v>171</v>
      </c>
      <c r="C1083" s="550"/>
      <c r="D1083" s="550"/>
      <c r="E1083" s="550"/>
      <c r="F1083" s="550"/>
      <c r="G1083" s="550"/>
      <c r="H1083" s="550"/>
      <c r="I1083" s="550"/>
      <c r="J1083" s="550"/>
      <c r="K1083" s="550"/>
      <c r="L1083" s="550"/>
      <c r="M1083" s="550"/>
      <c r="N1083" s="550"/>
      <c r="O1083" s="346">
        <v>102494</v>
      </c>
      <c r="P1083" s="350"/>
    </row>
    <row r="1084" spans="1:33" ht="14.25" customHeight="1">
      <c r="A1084" s="194"/>
      <c r="B1084" s="246"/>
      <c r="C1084" s="246"/>
      <c r="D1084" s="246"/>
      <c r="G1084" s="193"/>
      <c r="I1084" s="246"/>
      <c r="J1084" s="246"/>
      <c r="K1084" s="246"/>
      <c r="L1084" s="246"/>
      <c r="M1084" s="246"/>
      <c r="N1084" s="246"/>
      <c r="O1084" s="346"/>
      <c r="P1084" s="350"/>
      <c r="Q1084" s="129"/>
    </row>
    <row r="1085" spans="1:33" ht="14.25" customHeight="1">
      <c r="A1085" s="190"/>
      <c r="B1085" s="191" t="s">
        <v>285</v>
      </c>
      <c r="C1085" s="193" t="s">
        <v>77</v>
      </c>
      <c r="E1085" s="259" t="s">
        <v>87</v>
      </c>
      <c r="F1085" s="246"/>
      <c r="G1085" s="259" t="s">
        <v>77</v>
      </c>
      <c r="H1085" s="259"/>
      <c r="O1085" s="339"/>
    </row>
    <row r="1086" spans="1:33" ht="14.25" customHeight="1">
      <c r="A1086" s="190"/>
      <c r="B1086" s="128" t="s">
        <v>424</v>
      </c>
      <c r="C1086" s="193">
        <f>0.64*2+0.4+0.856</f>
        <v>2.536</v>
      </c>
      <c r="D1086" s="128" t="s">
        <v>103</v>
      </c>
      <c r="E1086" s="288">
        <v>1</v>
      </c>
      <c r="F1086" s="272" t="s">
        <v>95</v>
      </c>
      <c r="G1086" s="288">
        <f>C1086*E1086</f>
        <v>2.536</v>
      </c>
      <c r="H1086" s="272" t="s">
        <v>42</v>
      </c>
      <c r="I1086" s="193"/>
      <c r="O1086" s="339"/>
    </row>
    <row r="1087" spans="1:33" ht="14.25" customHeight="1">
      <c r="A1087" s="190"/>
      <c r="B1087" s="128" t="s">
        <v>425</v>
      </c>
      <c r="C1087" s="193">
        <v>1.5629999999999999</v>
      </c>
      <c r="D1087" s="128" t="s">
        <v>103</v>
      </c>
      <c r="E1087" s="288">
        <v>1</v>
      </c>
      <c r="F1087" s="272" t="s">
        <v>95</v>
      </c>
      <c r="G1087" s="288">
        <f>C1087*E1087</f>
        <v>1.5629999999999999</v>
      </c>
      <c r="H1087" s="272" t="s">
        <v>42</v>
      </c>
      <c r="I1087" s="193"/>
      <c r="O1087" s="339"/>
    </row>
    <row r="1088" spans="1:33" ht="14.25" customHeight="1">
      <c r="A1088" s="190"/>
      <c r="B1088" s="128" t="s">
        <v>426</v>
      </c>
      <c r="C1088" s="193">
        <v>9.2799999999999994</v>
      </c>
      <c r="D1088" s="128" t="s">
        <v>103</v>
      </c>
      <c r="E1088" s="288">
        <v>1</v>
      </c>
      <c r="F1088" s="272" t="s">
        <v>95</v>
      </c>
      <c r="G1088" s="288">
        <f>C1088*E1088</f>
        <v>9.2799999999999994</v>
      </c>
      <c r="H1088" s="272" t="s">
        <v>42</v>
      </c>
      <c r="I1088" s="193"/>
      <c r="O1088" s="339"/>
    </row>
    <row r="1089" spans="1:17" ht="14.25" customHeight="1">
      <c r="A1089" s="190"/>
      <c r="C1089" s="193"/>
      <c r="E1089" s="288"/>
      <c r="F1089" s="272"/>
      <c r="G1089" s="288"/>
      <c r="H1089" s="272"/>
      <c r="I1089" s="193"/>
      <c r="O1089" s="339"/>
    </row>
    <row r="1090" spans="1:17" ht="14.25" customHeight="1">
      <c r="A1090" s="190"/>
      <c r="B1090" s="191" t="s">
        <v>92</v>
      </c>
      <c r="C1090" s="192">
        <f>SUM(G1086:G1088)</f>
        <v>13.379</v>
      </c>
      <c r="D1090" s="191" t="s">
        <v>42</v>
      </c>
      <c r="E1090" s="288"/>
      <c r="F1090" s="272"/>
      <c r="G1090" s="288"/>
      <c r="H1090" s="272"/>
      <c r="I1090" s="193"/>
      <c r="O1090" s="339"/>
    </row>
    <row r="1091" spans="1:17" ht="15" customHeight="1">
      <c r="A1091" s="190"/>
      <c r="C1091" s="193"/>
      <c r="E1091" s="288"/>
      <c r="F1091" s="272"/>
      <c r="G1091" s="288"/>
      <c r="H1091" s="272"/>
      <c r="I1091" s="193"/>
      <c r="O1091" s="339"/>
    </row>
    <row r="1092" spans="1:17">
      <c r="A1092" s="245" t="s">
        <v>2511</v>
      </c>
      <c r="B1092" s="544" t="s">
        <v>300</v>
      </c>
      <c r="C1092" s="550"/>
      <c r="D1092" s="550"/>
      <c r="E1092" s="550"/>
      <c r="F1092" s="550"/>
      <c r="G1092" s="550"/>
      <c r="H1092" s="550"/>
      <c r="I1092" s="550"/>
      <c r="J1092" s="550"/>
      <c r="K1092" s="550"/>
      <c r="L1092" s="550"/>
      <c r="M1092" s="550"/>
      <c r="N1092" s="550"/>
      <c r="O1092" s="252">
        <v>102498</v>
      </c>
      <c r="P1092" s="350"/>
    </row>
    <row r="1093" spans="1:17" ht="14.25" customHeight="1">
      <c r="A1093" s="194"/>
      <c r="B1093" s="246"/>
      <c r="C1093" s="246"/>
      <c r="D1093" s="246"/>
      <c r="E1093" s="246"/>
      <c r="F1093" s="246"/>
      <c r="G1093" s="246"/>
      <c r="H1093" s="246"/>
      <c r="I1093" s="246"/>
      <c r="J1093" s="246"/>
      <c r="K1093" s="246"/>
      <c r="L1093" s="246"/>
      <c r="M1093" s="246"/>
      <c r="N1093" s="246"/>
      <c r="O1093" s="252"/>
      <c r="P1093" s="350"/>
      <c r="Q1093" s="129"/>
    </row>
    <row r="1094" spans="1:17" ht="14.25" customHeight="1">
      <c r="A1094" s="190"/>
      <c r="C1094" s="193" t="s">
        <v>75</v>
      </c>
      <c r="E1094" s="193"/>
      <c r="G1094" s="193"/>
      <c r="O1094" s="339"/>
    </row>
    <row r="1095" spans="1:17" ht="14.25" customHeight="1">
      <c r="A1095" s="190"/>
      <c r="B1095" s="191" t="s">
        <v>92</v>
      </c>
      <c r="C1095" s="274">
        <f>C756</f>
        <v>234.95000000000002</v>
      </c>
      <c r="D1095" s="191" t="s">
        <v>50</v>
      </c>
      <c r="E1095" s="193"/>
      <c r="G1095" s="193"/>
      <c r="O1095" s="339"/>
    </row>
    <row r="1096" spans="1:17" ht="14.25" customHeight="1">
      <c r="A1096" s="190"/>
      <c r="C1096" s="193"/>
      <c r="E1096" s="193"/>
      <c r="G1096" s="193"/>
      <c r="O1096" s="339"/>
    </row>
    <row r="1097" spans="1:17">
      <c r="A1097" s="188" t="s">
        <v>378</v>
      </c>
      <c r="B1097" s="551" t="s">
        <v>58</v>
      </c>
      <c r="C1097" s="552"/>
      <c r="D1097" s="552"/>
      <c r="E1097" s="552"/>
      <c r="F1097" s="552"/>
      <c r="G1097" s="552"/>
      <c r="H1097" s="552"/>
      <c r="I1097" s="552"/>
      <c r="J1097" s="552"/>
      <c r="K1097" s="552"/>
      <c r="L1097" s="552"/>
      <c r="M1097" s="552"/>
      <c r="N1097" s="552"/>
      <c r="O1097" s="346"/>
      <c r="P1097" s="347"/>
    </row>
    <row r="1098" spans="1:17" ht="14.25">
      <c r="A1098" s="190"/>
      <c r="C1098" s="193"/>
      <c r="E1098" s="193"/>
      <c r="G1098" s="193"/>
      <c r="O1098" s="339"/>
    </row>
    <row r="1099" spans="1:17">
      <c r="A1099" s="245" t="s">
        <v>507</v>
      </c>
      <c r="B1099" s="544" t="s">
        <v>508</v>
      </c>
      <c r="C1099" s="550"/>
      <c r="D1099" s="550"/>
      <c r="E1099" s="550"/>
      <c r="F1099" s="550"/>
      <c r="G1099" s="550"/>
      <c r="H1099" s="550"/>
      <c r="I1099" s="550"/>
      <c r="J1099" s="550"/>
      <c r="K1099" s="550"/>
      <c r="L1099" s="550"/>
      <c r="M1099" s="550"/>
      <c r="N1099" s="550"/>
      <c r="O1099" s="252">
        <v>89446</v>
      </c>
      <c r="P1099" s="350"/>
    </row>
    <row r="1100" spans="1:17" ht="14.25" customHeight="1">
      <c r="A1100" s="190"/>
      <c r="C1100" s="193"/>
      <c r="E1100" s="193"/>
      <c r="G1100" s="193"/>
      <c r="O1100" s="339"/>
    </row>
    <row r="1101" spans="1:17" ht="14.25" customHeight="1">
      <c r="A1101" s="190"/>
      <c r="C1101" s="193" t="s">
        <v>75</v>
      </c>
      <c r="E1101" s="193"/>
      <c r="G1101" s="193"/>
      <c r="O1101" s="339"/>
    </row>
    <row r="1102" spans="1:17" ht="14.25" customHeight="1">
      <c r="A1102" s="190"/>
      <c r="B1102" s="191" t="s">
        <v>136</v>
      </c>
      <c r="C1102" s="192">
        <v>314.14</v>
      </c>
      <c r="D1102" s="191" t="s">
        <v>50</v>
      </c>
      <c r="E1102" s="193"/>
      <c r="G1102" s="193"/>
      <c r="O1102" s="339"/>
    </row>
    <row r="1103" spans="1:17" ht="14.25">
      <c r="A1103" s="190"/>
      <c r="C1103" s="193"/>
      <c r="E1103" s="193"/>
      <c r="G1103" s="193"/>
      <c r="O1103" s="339"/>
    </row>
    <row r="1104" spans="1:17">
      <c r="A1104" s="245" t="s">
        <v>509</v>
      </c>
      <c r="B1104" s="544" t="s">
        <v>510</v>
      </c>
      <c r="C1104" s="550"/>
      <c r="D1104" s="550"/>
      <c r="E1104" s="550"/>
      <c r="F1104" s="550"/>
      <c r="G1104" s="550"/>
      <c r="H1104" s="550"/>
      <c r="I1104" s="550"/>
      <c r="J1104" s="550"/>
      <c r="K1104" s="550"/>
      <c r="L1104" s="550"/>
      <c r="M1104" s="550"/>
      <c r="N1104" s="550"/>
      <c r="O1104" s="252">
        <v>89447</v>
      </c>
      <c r="P1104" s="350"/>
    </row>
    <row r="1105" spans="1:16" ht="14.25" customHeight="1">
      <c r="A1105" s="190"/>
      <c r="C1105" s="193"/>
      <c r="E1105" s="193"/>
      <c r="G1105" s="193"/>
      <c r="O1105" s="339"/>
    </row>
    <row r="1106" spans="1:16" ht="14.25" customHeight="1">
      <c r="A1106" s="190"/>
      <c r="C1106" s="193" t="s">
        <v>75</v>
      </c>
      <c r="E1106" s="193"/>
      <c r="G1106" s="193"/>
      <c r="O1106" s="339"/>
    </row>
    <row r="1107" spans="1:16" ht="14.25" customHeight="1">
      <c r="A1107" s="190"/>
      <c r="B1107" s="191" t="s">
        <v>136</v>
      </c>
      <c r="C1107" s="192">
        <v>72.819999999999993</v>
      </c>
      <c r="D1107" s="191" t="s">
        <v>50</v>
      </c>
      <c r="E1107" s="193"/>
      <c r="G1107" s="193"/>
      <c r="O1107" s="339"/>
    </row>
    <row r="1108" spans="1:16" ht="14.25">
      <c r="A1108" s="190"/>
      <c r="C1108" s="193"/>
      <c r="E1108" s="193"/>
      <c r="G1108" s="193"/>
      <c r="O1108" s="339"/>
    </row>
    <row r="1109" spans="1:16">
      <c r="A1109" s="245" t="s">
        <v>511</v>
      </c>
      <c r="B1109" s="544" t="s">
        <v>512</v>
      </c>
      <c r="C1109" s="550"/>
      <c r="D1109" s="550"/>
      <c r="E1109" s="550"/>
      <c r="F1109" s="550"/>
      <c r="G1109" s="550"/>
      <c r="H1109" s="550"/>
      <c r="I1109" s="550"/>
      <c r="J1109" s="550"/>
      <c r="K1109" s="550"/>
      <c r="L1109" s="550"/>
      <c r="M1109" s="550"/>
      <c r="N1109" s="550"/>
      <c r="O1109" s="252">
        <v>89448</v>
      </c>
      <c r="P1109" s="350"/>
    </row>
    <row r="1110" spans="1:16" ht="14.25" customHeight="1">
      <c r="A1110" s="190"/>
      <c r="C1110" s="193"/>
      <c r="E1110" s="193"/>
      <c r="G1110" s="193"/>
      <c r="O1110" s="339"/>
    </row>
    <row r="1111" spans="1:16" ht="14.25" customHeight="1">
      <c r="A1111" s="190"/>
      <c r="C1111" s="193" t="s">
        <v>75</v>
      </c>
      <c r="E1111" s="193"/>
      <c r="G1111" s="193"/>
      <c r="O1111" s="339"/>
    </row>
    <row r="1112" spans="1:16" ht="14.25" customHeight="1">
      <c r="A1112" s="190"/>
      <c r="B1112" s="191" t="s">
        <v>136</v>
      </c>
      <c r="C1112" s="192">
        <v>60.35</v>
      </c>
      <c r="D1112" s="191" t="s">
        <v>50</v>
      </c>
      <c r="E1112" s="193"/>
      <c r="G1112" s="193"/>
      <c r="O1112" s="339"/>
    </row>
    <row r="1113" spans="1:16" ht="14.25">
      <c r="A1113" s="190"/>
      <c r="C1113" s="193"/>
      <c r="E1113" s="193"/>
      <c r="G1113" s="193"/>
      <c r="O1113" s="339"/>
    </row>
    <row r="1114" spans="1:16">
      <c r="A1114" s="245" t="s">
        <v>513</v>
      </c>
      <c r="B1114" s="544" t="s">
        <v>514</v>
      </c>
      <c r="C1114" s="550"/>
      <c r="D1114" s="550"/>
      <c r="E1114" s="550"/>
      <c r="F1114" s="550"/>
      <c r="G1114" s="550"/>
      <c r="H1114" s="550"/>
      <c r="I1114" s="550"/>
      <c r="J1114" s="550"/>
      <c r="K1114" s="550"/>
      <c r="L1114" s="550"/>
      <c r="M1114" s="550"/>
      <c r="N1114" s="550"/>
      <c r="O1114" s="252">
        <v>89449</v>
      </c>
      <c r="P1114" s="350"/>
    </row>
    <row r="1115" spans="1:16" ht="14.25" customHeight="1">
      <c r="A1115" s="190"/>
      <c r="C1115" s="193"/>
      <c r="E1115" s="193"/>
      <c r="G1115" s="193"/>
      <c r="O1115" s="339"/>
    </row>
    <row r="1116" spans="1:16" ht="14.25" customHeight="1">
      <c r="A1116" s="190"/>
      <c r="C1116" s="193" t="s">
        <v>75</v>
      </c>
      <c r="E1116" s="193"/>
      <c r="G1116" s="193"/>
      <c r="O1116" s="339"/>
    </row>
    <row r="1117" spans="1:16" ht="14.25" customHeight="1">
      <c r="A1117" s="190"/>
      <c r="B1117" s="191" t="s">
        <v>136</v>
      </c>
      <c r="C1117" s="192">
        <v>41.91</v>
      </c>
      <c r="D1117" s="191" t="s">
        <v>50</v>
      </c>
      <c r="E1117" s="193"/>
      <c r="G1117" s="193"/>
      <c r="O1117" s="339"/>
    </row>
    <row r="1118" spans="1:16" ht="14.25">
      <c r="A1118" s="190"/>
      <c r="C1118" s="193"/>
      <c r="E1118" s="193"/>
      <c r="G1118" s="193"/>
      <c r="O1118" s="339"/>
    </row>
    <row r="1119" spans="1:16">
      <c r="A1119" s="245" t="s">
        <v>515</v>
      </c>
      <c r="B1119" s="544" t="s">
        <v>516</v>
      </c>
      <c r="C1119" s="550"/>
      <c r="D1119" s="550"/>
      <c r="E1119" s="550"/>
      <c r="F1119" s="550"/>
      <c r="G1119" s="550"/>
      <c r="H1119" s="550"/>
      <c r="I1119" s="550"/>
      <c r="J1119" s="550"/>
      <c r="K1119" s="550"/>
      <c r="L1119" s="550"/>
      <c r="M1119" s="550"/>
      <c r="N1119" s="550"/>
      <c r="O1119" s="252">
        <v>89450</v>
      </c>
      <c r="P1119" s="350"/>
    </row>
    <row r="1120" spans="1:16" ht="14.25" customHeight="1">
      <c r="A1120" s="190"/>
      <c r="C1120" s="193"/>
      <c r="E1120" s="193"/>
      <c r="G1120" s="193"/>
      <c r="O1120" s="339"/>
    </row>
    <row r="1121" spans="1:16" ht="14.25" customHeight="1">
      <c r="A1121" s="190"/>
      <c r="C1121" s="193" t="s">
        <v>75</v>
      </c>
      <c r="E1121" s="193"/>
      <c r="G1121" s="193"/>
      <c r="O1121" s="339"/>
    </row>
    <row r="1122" spans="1:16" ht="14.25" customHeight="1">
      <c r="A1122" s="190"/>
      <c r="B1122" s="191" t="s">
        <v>136</v>
      </c>
      <c r="C1122" s="192">
        <v>20.67</v>
      </c>
      <c r="D1122" s="191" t="s">
        <v>50</v>
      </c>
      <c r="E1122" s="193"/>
      <c r="G1122" s="193"/>
      <c r="O1122" s="339"/>
    </row>
    <row r="1123" spans="1:16" ht="14.25">
      <c r="A1123" s="190"/>
      <c r="C1123" s="193"/>
      <c r="E1123" s="193"/>
      <c r="G1123" s="193"/>
      <c r="O1123" s="339"/>
    </row>
    <row r="1124" spans="1:16">
      <c r="A1124" s="245" t="s">
        <v>517</v>
      </c>
      <c r="B1124" s="544" t="s">
        <v>518</v>
      </c>
      <c r="C1124" s="550"/>
      <c r="D1124" s="550"/>
      <c r="E1124" s="550"/>
      <c r="F1124" s="550"/>
      <c r="G1124" s="550"/>
      <c r="H1124" s="550"/>
      <c r="I1124" s="550"/>
      <c r="J1124" s="550"/>
      <c r="K1124" s="550"/>
      <c r="L1124" s="550"/>
      <c r="M1124" s="550"/>
      <c r="N1124" s="550"/>
      <c r="O1124" s="252">
        <v>89451</v>
      </c>
      <c r="P1124" s="350"/>
    </row>
    <row r="1125" spans="1:16" ht="14.25" customHeight="1">
      <c r="A1125" s="190"/>
      <c r="C1125" s="193"/>
      <c r="E1125" s="193"/>
      <c r="G1125" s="193"/>
      <c r="O1125" s="339"/>
    </row>
    <row r="1126" spans="1:16" ht="14.25" customHeight="1">
      <c r="A1126" s="190"/>
      <c r="C1126" s="193" t="s">
        <v>75</v>
      </c>
      <c r="E1126" s="193"/>
      <c r="G1126" s="193"/>
      <c r="O1126" s="339"/>
    </row>
    <row r="1127" spans="1:16" ht="14.25" customHeight="1">
      <c r="A1127" s="190"/>
      <c r="B1127" s="191" t="s">
        <v>136</v>
      </c>
      <c r="C1127" s="192">
        <v>43.84</v>
      </c>
      <c r="D1127" s="191" t="s">
        <v>50</v>
      </c>
      <c r="E1127" s="193"/>
      <c r="G1127" s="193"/>
      <c r="O1127" s="339"/>
    </row>
    <row r="1128" spans="1:16" ht="14.25">
      <c r="A1128" s="190"/>
      <c r="C1128" s="193"/>
      <c r="E1128" s="193"/>
      <c r="G1128" s="193"/>
      <c r="O1128" s="339"/>
    </row>
    <row r="1129" spans="1:16">
      <c r="A1129" s="245" t="s">
        <v>519</v>
      </c>
      <c r="B1129" s="559" t="s">
        <v>520</v>
      </c>
      <c r="C1129" s="590"/>
      <c r="D1129" s="590"/>
      <c r="E1129" s="590"/>
      <c r="F1129" s="590"/>
      <c r="G1129" s="590"/>
      <c r="H1129" s="590"/>
      <c r="I1129" s="590"/>
      <c r="J1129" s="590"/>
      <c r="K1129" s="590"/>
      <c r="L1129" s="590"/>
      <c r="M1129" s="590"/>
      <c r="N1129" s="590"/>
      <c r="O1129" s="252" t="s">
        <v>1023</v>
      </c>
      <c r="P1129" s="350" t="s">
        <v>74</v>
      </c>
    </row>
    <row r="1130" spans="1:16" ht="14.25" customHeight="1">
      <c r="A1130" s="190"/>
      <c r="C1130" s="193"/>
      <c r="E1130" s="193"/>
      <c r="G1130" s="193"/>
      <c r="O1130" s="339"/>
    </row>
    <row r="1131" spans="1:16" ht="14.25" customHeight="1">
      <c r="A1131" s="190"/>
      <c r="C1131" s="193" t="s">
        <v>75</v>
      </c>
      <c r="E1131" s="193"/>
      <c r="G1131" s="193"/>
      <c r="O1131" s="339"/>
    </row>
    <row r="1132" spans="1:16" ht="14.25" customHeight="1">
      <c r="A1132" s="190"/>
      <c r="B1132" s="191" t="s">
        <v>136</v>
      </c>
      <c r="C1132" s="192">
        <v>11.08</v>
      </c>
      <c r="D1132" s="191" t="s">
        <v>50</v>
      </c>
      <c r="E1132" s="193"/>
      <c r="G1132" s="193"/>
      <c r="O1132" s="339"/>
    </row>
    <row r="1133" spans="1:16" ht="14.25">
      <c r="A1133" s="190"/>
      <c r="C1133" s="193"/>
      <c r="E1133" s="193"/>
      <c r="G1133" s="193"/>
      <c r="O1133" s="339"/>
    </row>
    <row r="1134" spans="1:16">
      <c r="A1134" s="245" t="s">
        <v>521</v>
      </c>
      <c r="B1134" s="582" t="s">
        <v>522</v>
      </c>
      <c r="C1134" s="578"/>
      <c r="D1134" s="578"/>
      <c r="E1134" s="578"/>
      <c r="F1134" s="578"/>
      <c r="G1134" s="578"/>
      <c r="H1134" s="578"/>
      <c r="I1134" s="578"/>
      <c r="J1134" s="578"/>
      <c r="K1134" s="578"/>
      <c r="L1134" s="578"/>
      <c r="M1134" s="578"/>
      <c r="N1134" s="578"/>
      <c r="O1134" s="252" t="s">
        <v>1024</v>
      </c>
      <c r="P1134" s="350" t="s">
        <v>74</v>
      </c>
    </row>
    <row r="1135" spans="1:16" ht="14.25" customHeight="1">
      <c r="A1135" s="190"/>
      <c r="C1135" s="193"/>
      <c r="E1135" s="193"/>
      <c r="G1135" s="193"/>
      <c r="O1135" s="339"/>
    </row>
    <row r="1136" spans="1:16" ht="14.25" customHeight="1">
      <c r="A1136" s="190"/>
      <c r="C1136" s="193" t="s">
        <v>75</v>
      </c>
      <c r="E1136" s="193"/>
      <c r="G1136" s="193"/>
      <c r="O1136" s="339"/>
    </row>
    <row r="1137" spans="1:33" ht="14.25" customHeight="1">
      <c r="A1137" s="190"/>
      <c r="B1137" s="191" t="s">
        <v>136</v>
      </c>
      <c r="C1137" s="192">
        <v>2.5499999999999998</v>
      </c>
      <c r="D1137" s="191" t="s">
        <v>50</v>
      </c>
      <c r="E1137" s="193"/>
      <c r="G1137" s="193"/>
      <c r="O1137" s="339"/>
    </row>
    <row r="1138" spans="1:33" ht="14.25">
      <c r="A1138" s="190"/>
      <c r="C1138" s="193"/>
      <c r="E1138" s="193"/>
      <c r="G1138" s="193"/>
      <c r="O1138" s="339"/>
    </row>
    <row r="1139" spans="1:33">
      <c r="A1139" s="245" t="s">
        <v>523</v>
      </c>
      <c r="B1139" s="553" t="s">
        <v>524</v>
      </c>
      <c r="C1139" s="550"/>
      <c r="D1139" s="550"/>
      <c r="E1139" s="550"/>
      <c r="F1139" s="550"/>
      <c r="G1139" s="550"/>
      <c r="H1139" s="550"/>
      <c r="I1139" s="550"/>
      <c r="J1139" s="550"/>
      <c r="K1139" s="550"/>
      <c r="L1139" s="550"/>
      <c r="M1139" s="550"/>
      <c r="N1139" s="550"/>
      <c r="O1139" s="252">
        <v>89622</v>
      </c>
      <c r="P1139" s="350"/>
      <c r="Q1139" s="129"/>
      <c r="R1139" s="129"/>
      <c r="S1139" s="129"/>
      <c r="T1139" s="129"/>
      <c r="U1139" s="129"/>
      <c r="V1139" s="129"/>
      <c r="W1139" s="129"/>
      <c r="X1139" s="129"/>
      <c r="Y1139" s="129"/>
      <c r="Z1139" s="129"/>
      <c r="AA1139" s="129"/>
      <c r="AB1139" s="129"/>
      <c r="AC1139" s="129"/>
      <c r="AD1139" s="129"/>
      <c r="AE1139" s="129"/>
      <c r="AF1139" s="129"/>
      <c r="AG1139" s="129"/>
    </row>
    <row r="1140" spans="1:33" ht="14.25">
      <c r="A1140" s="186"/>
      <c r="B1140" s="129"/>
      <c r="C1140" s="187"/>
      <c r="D1140" s="129"/>
      <c r="E1140" s="187"/>
      <c r="F1140" s="129"/>
      <c r="G1140" s="187"/>
      <c r="H1140" s="129"/>
      <c r="I1140" s="129"/>
      <c r="J1140" s="129"/>
      <c r="K1140" s="129"/>
      <c r="L1140" s="129"/>
      <c r="M1140" s="129"/>
      <c r="N1140" s="129"/>
      <c r="O1140" s="346"/>
      <c r="P1140" s="347"/>
    </row>
    <row r="1141" spans="1:33" ht="14.25">
      <c r="A1141" s="190"/>
      <c r="C1141" s="193" t="s">
        <v>525</v>
      </c>
      <c r="E1141" s="193"/>
      <c r="G1141" s="193"/>
      <c r="O1141" s="379"/>
    </row>
    <row r="1142" spans="1:33" ht="14.25" customHeight="1">
      <c r="A1142" s="186"/>
      <c r="B1142" s="191" t="s">
        <v>92</v>
      </c>
      <c r="C1142" s="200">
        <v>37</v>
      </c>
      <c r="D1142" s="261" t="s">
        <v>82</v>
      </c>
      <c r="E1142" s="187"/>
      <c r="F1142" s="129"/>
      <c r="G1142" s="187"/>
      <c r="H1142" s="129"/>
      <c r="I1142" s="129"/>
      <c r="J1142" s="129"/>
      <c r="K1142" s="129"/>
      <c r="L1142" s="129"/>
      <c r="M1142" s="129"/>
      <c r="N1142" s="129"/>
      <c r="O1142" s="346"/>
      <c r="P1142" s="347"/>
    </row>
    <row r="1143" spans="1:33" ht="14.25" customHeight="1">
      <c r="A1143" s="190"/>
      <c r="C1143" s="193"/>
      <c r="E1143" s="193"/>
      <c r="G1143" s="193"/>
      <c r="O1143" s="339"/>
      <c r="Q1143" s="129"/>
      <c r="R1143" s="129"/>
      <c r="S1143" s="129"/>
      <c r="T1143" s="129"/>
      <c r="U1143" s="129"/>
      <c r="V1143" s="129"/>
      <c r="W1143" s="129"/>
      <c r="X1143" s="129"/>
      <c r="Y1143" s="129"/>
      <c r="Z1143" s="129"/>
      <c r="AA1143" s="129"/>
      <c r="AB1143" s="129"/>
      <c r="AC1143" s="129"/>
      <c r="AD1143" s="129"/>
      <c r="AE1143" s="129"/>
      <c r="AF1143" s="129"/>
      <c r="AG1143" s="129"/>
    </row>
    <row r="1144" spans="1:33">
      <c r="A1144" s="245" t="s">
        <v>526</v>
      </c>
      <c r="B1144" s="553" t="s">
        <v>528</v>
      </c>
      <c r="C1144" s="550"/>
      <c r="D1144" s="550"/>
      <c r="E1144" s="550"/>
      <c r="F1144" s="550"/>
      <c r="G1144" s="550"/>
      <c r="H1144" s="550"/>
      <c r="I1144" s="550"/>
      <c r="J1144" s="550"/>
      <c r="K1144" s="550"/>
      <c r="L1144" s="550"/>
      <c r="M1144" s="550"/>
      <c r="N1144" s="550"/>
      <c r="O1144" s="252">
        <v>89624</v>
      </c>
      <c r="P1144" s="350"/>
      <c r="Q1144" s="129"/>
      <c r="R1144" s="129"/>
      <c r="S1144" s="129"/>
      <c r="T1144" s="129"/>
      <c r="U1144" s="129"/>
      <c r="V1144" s="129"/>
      <c r="W1144" s="129"/>
      <c r="X1144" s="129"/>
      <c r="Y1144" s="129"/>
      <c r="Z1144" s="129"/>
      <c r="AA1144" s="129"/>
      <c r="AB1144" s="129"/>
      <c r="AC1144" s="129"/>
      <c r="AD1144" s="129"/>
      <c r="AE1144" s="129"/>
      <c r="AF1144" s="129"/>
      <c r="AG1144" s="129"/>
    </row>
    <row r="1145" spans="1:33" ht="14.25">
      <c r="A1145" s="186"/>
      <c r="B1145" s="129"/>
      <c r="C1145" s="187"/>
      <c r="D1145" s="129"/>
      <c r="E1145" s="187"/>
      <c r="F1145" s="129"/>
      <c r="G1145" s="187"/>
      <c r="H1145" s="129"/>
      <c r="I1145" s="129"/>
      <c r="J1145" s="129"/>
      <c r="K1145" s="129"/>
      <c r="L1145" s="129"/>
      <c r="M1145" s="129"/>
      <c r="N1145" s="129"/>
      <c r="O1145" s="346"/>
      <c r="P1145" s="347"/>
    </row>
    <row r="1146" spans="1:33" ht="14.25">
      <c r="A1146" s="190"/>
      <c r="C1146" s="193" t="s">
        <v>525</v>
      </c>
      <c r="E1146" s="193"/>
      <c r="G1146" s="193"/>
      <c r="O1146" s="379"/>
    </row>
    <row r="1147" spans="1:33" ht="14.25" customHeight="1">
      <c r="A1147" s="186"/>
      <c r="B1147" s="191" t="s">
        <v>92</v>
      </c>
      <c r="C1147" s="200">
        <f>8+2</f>
        <v>10</v>
      </c>
      <c r="D1147" s="261" t="s">
        <v>82</v>
      </c>
      <c r="E1147" s="187"/>
      <c r="F1147" s="129"/>
      <c r="G1147" s="187"/>
      <c r="H1147" s="129"/>
      <c r="I1147" s="129"/>
      <c r="J1147" s="129"/>
      <c r="K1147" s="129"/>
      <c r="L1147" s="129"/>
      <c r="M1147" s="129"/>
      <c r="N1147" s="129"/>
      <c r="O1147" s="346"/>
      <c r="P1147" s="347"/>
    </row>
    <row r="1148" spans="1:33" ht="14.25" customHeight="1">
      <c r="A1148" s="190"/>
      <c r="C1148" s="193"/>
      <c r="E1148" s="193"/>
      <c r="G1148" s="193"/>
      <c r="O1148" s="339"/>
      <c r="Q1148" s="129"/>
      <c r="R1148" s="129"/>
      <c r="S1148" s="129"/>
      <c r="T1148" s="129"/>
      <c r="U1148" s="129"/>
      <c r="V1148" s="129"/>
      <c r="W1148" s="129"/>
      <c r="X1148" s="129"/>
      <c r="Y1148" s="129"/>
      <c r="Z1148" s="129"/>
      <c r="AA1148" s="129"/>
      <c r="AB1148" s="129"/>
      <c r="AC1148" s="129"/>
      <c r="AD1148" s="129"/>
      <c r="AE1148" s="129"/>
      <c r="AF1148" s="129"/>
      <c r="AG1148" s="129"/>
    </row>
    <row r="1149" spans="1:33">
      <c r="A1149" s="245" t="s">
        <v>527</v>
      </c>
      <c r="B1149" s="553" t="s">
        <v>1282</v>
      </c>
      <c r="C1149" s="550"/>
      <c r="D1149" s="550"/>
      <c r="E1149" s="550"/>
      <c r="F1149" s="550"/>
      <c r="G1149" s="550"/>
      <c r="H1149" s="550"/>
      <c r="I1149" s="550"/>
      <c r="J1149" s="550"/>
      <c r="K1149" s="550"/>
      <c r="L1149" s="550"/>
      <c r="M1149" s="550"/>
      <c r="N1149" s="550"/>
      <c r="O1149" s="252">
        <v>104005</v>
      </c>
      <c r="P1149" s="350"/>
      <c r="Q1149" s="129"/>
      <c r="R1149" s="129"/>
      <c r="S1149" s="129"/>
      <c r="T1149" s="129"/>
      <c r="U1149" s="129"/>
      <c r="V1149" s="129"/>
      <c r="W1149" s="129"/>
      <c r="X1149" s="129"/>
      <c r="Y1149" s="129"/>
      <c r="Z1149" s="129"/>
      <c r="AA1149" s="129"/>
      <c r="AB1149" s="129"/>
      <c r="AC1149" s="129"/>
      <c r="AD1149" s="129"/>
      <c r="AE1149" s="129"/>
      <c r="AF1149" s="129"/>
      <c r="AG1149" s="129"/>
    </row>
    <row r="1150" spans="1:33" ht="14.25">
      <c r="A1150" s="186"/>
      <c r="B1150" s="129"/>
      <c r="C1150" s="187"/>
      <c r="D1150" s="129"/>
      <c r="E1150" s="187"/>
      <c r="F1150" s="129"/>
      <c r="G1150" s="187"/>
      <c r="H1150" s="129"/>
      <c r="I1150" s="129"/>
      <c r="J1150" s="129"/>
      <c r="K1150" s="129"/>
      <c r="L1150" s="129"/>
      <c r="M1150" s="129"/>
      <c r="N1150" s="129"/>
      <c r="O1150" s="346"/>
      <c r="P1150" s="347"/>
    </row>
    <row r="1151" spans="1:33" ht="14.25">
      <c r="A1151" s="190"/>
      <c r="C1151" s="193" t="s">
        <v>525</v>
      </c>
      <c r="E1151" s="193"/>
      <c r="G1151" s="193"/>
      <c r="O1151" s="379"/>
    </row>
    <row r="1152" spans="1:33" ht="14.25" customHeight="1">
      <c r="A1152" s="186"/>
      <c r="B1152" s="191" t="s">
        <v>92</v>
      </c>
      <c r="C1152" s="200">
        <f>2+1</f>
        <v>3</v>
      </c>
      <c r="D1152" s="261" t="s">
        <v>82</v>
      </c>
      <c r="E1152" s="187"/>
      <c r="F1152" s="129"/>
      <c r="G1152" s="187"/>
      <c r="H1152" s="129"/>
      <c r="I1152" s="129"/>
      <c r="J1152" s="129"/>
      <c r="K1152" s="129"/>
      <c r="L1152" s="129"/>
      <c r="M1152" s="129"/>
      <c r="N1152" s="129"/>
      <c r="O1152" s="346"/>
      <c r="P1152" s="347"/>
    </row>
    <row r="1153" spans="1:33" ht="14.25" customHeight="1">
      <c r="A1153" s="186"/>
      <c r="B1153" s="191"/>
      <c r="C1153" s="200"/>
      <c r="D1153" s="261"/>
      <c r="E1153" s="187"/>
      <c r="F1153" s="129"/>
      <c r="G1153" s="187"/>
      <c r="H1153" s="129"/>
      <c r="I1153" s="129"/>
      <c r="J1153" s="129"/>
      <c r="K1153" s="129"/>
      <c r="L1153" s="129"/>
      <c r="M1153" s="129"/>
      <c r="N1153" s="129"/>
      <c r="O1153" s="346"/>
      <c r="P1153" s="347"/>
    </row>
    <row r="1154" spans="1:33">
      <c r="A1154" s="245" t="s">
        <v>529</v>
      </c>
      <c r="B1154" s="553" t="s">
        <v>531</v>
      </c>
      <c r="C1154" s="550"/>
      <c r="D1154" s="550"/>
      <c r="E1154" s="550"/>
      <c r="F1154" s="550"/>
      <c r="G1154" s="550"/>
      <c r="H1154" s="550"/>
      <c r="I1154" s="550"/>
      <c r="J1154" s="550"/>
      <c r="K1154" s="550"/>
      <c r="L1154" s="550"/>
      <c r="M1154" s="550"/>
      <c r="N1154" s="550"/>
      <c r="O1154" s="252">
        <v>89630</v>
      </c>
      <c r="P1154" s="350"/>
      <c r="Q1154" s="129"/>
      <c r="R1154" s="129"/>
      <c r="S1154" s="129"/>
      <c r="T1154" s="129"/>
      <c r="U1154" s="129"/>
      <c r="V1154" s="129"/>
      <c r="W1154" s="129"/>
      <c r="X1154" s="129"/>
      <c r="Y1154" s="129"/>
      <c r="Z1154" s="129"/>
      <c r="AA1154" s="129"/>
      <c r="AB1154" s="129"/>
      <c r="AC1154" s="129"/>
      <c r="AD1154" s="129"/>
      <c r="AE1154" s="129"/>
      <c r="AF1154" s="129"/>
      <c r="AG1154" s="129"/>
    </row>
    <row r="1155" spans="1:33" ht="14.25">
      <c r="A1155" s="186"/>
      <c r="B1155" s="129"/>
      <c r="C1155" s="187"/>
      <c r="D1155" s="129"/>
      <c r="E1155" s="187"/>
      <c r="F1155" s="129"/>
      <c r="G1155" s="187"/>
      <c r="H1155" s="129"/>
      <c r="I1155" s="129"/>
      <c r="J1155" s="129"/>
      <c r="K1155" s="129"/>
      <c r="L1155" s="129"/>
      <c r="M1155" s="129"/>
      <c r="N1155" s="129"/>
      <c r="O1155" s="346"/>
      <c r="P1155" s="347"/>
    </row>
    <row r="1156" spans="1:33" ht="14.25">
      <c r="A1156" s="190"/>
      <c r="C1156" s="193" t="s">
        <v>525</v>
      </c>
      <c r="E1156" s="193"/>
      <c r="G1156" s="193"/>
      <c r="O1156" s="379"/>
    </row>
    <row r="1157" spans="1:33" ht="14.25" customHeight="1">
      <c r="A1157" s="186"/>
      <c r="B1157" s="191" t="s">
        <v>92</v>
      </c>
      <c r="C1157" s="200">
        <f>3+1</f>
        <v>4</v>
      </c>
      <c r="D1157" s="261" t="s">
        <v>82</v>
      </c>
      <c r="E1157" s="187"/>
      <c r="F1157" s="129"/>
      <c r="G1157" s="187"/>
      <c r="H1157" s="129"/>
      <c r="I1157" s="129"/>
      <c r="J1157" s="129"/>
      <c r="K1157" s="129"/>
      <c r="L1157" s="129"/>
      <c r="M1157" s="129"/>
      <c r="N1157" s="129"/>
      <c r="O1157" s="346"/>
      <c r="P1157" s="347"/>
    </row>
    <row r="1158" spans="1:33" ht="14.25" customHeight="1">
      <c r="A1158" s="186"/>
      <c r="B1158" s="191"/>
      <c r="C1158" s="200"/>
      <c r="D1158" s="261"/>
      <c r="E1158" s="187"/>
      <c r="F1158" s="129"/>
      <c r="G1158" s="187"/>
      <c r="H1158" s="129"/>
      <c r="I1158" s="129"/>
      <c r="J1158" s="129"/>
      <c r="K1158" s="129"/>
      <c r="L1158" s="129"/>
      <c r="M1158" s="129"/>
      <c r="N1158" s="129"/>
      <c r="O1158" s="346"/>
      <c r="P1158" s="347"/>
    </row>
    <row r="1159" spans="1:33">
      <c r="A1159" s="245" t="s">
        <v>530</v>
      </c>
      <c r="B1159" s="553" t="s">
        <v>533</v>
      </c>
      <c r="C1159" s="550"/>
      <c r="D1159" s="550"/>
      <c r="E1159" s="550"/>
      <c r="F1159" s="550"/>
      <c r="G1159" s="550"/>
      <c r="H1159" s="550"/>
      <c r="I1159" s="550"/>
      <c r="J1159" s="550"/>
      <c r="K1159" s="550"/>
      <c r="L1159" s="550"/>
      <c r="M1159" s="550"/>
      <c r="N1159" s="550"/>
      <c r="O1159" s="252">
        <v>89617</v>
      </c>
      <c r="P1159" s="350"/>
      <c r="Q1159" s="129"/>
      <c r="R1159" s="129"/>
      <c r="S1159" s="129"/>
      <c r="T1159" s="129"/>
      <c r="U1159" s="129"/>
      <c r="V1159" s="129"/>
      <c r="W1159" s="129"/>
      <c r="X1159" s="129"/>
      <c r="Y1159" s="129"/>
      <c r="Z1159" s="129"/>
      <c r="AA1159" s="129"/>
      <c r="AB1159" s="129"/>
      <c r="AC1159" s="129"/>
      <c r="AD1159" s="129"/>
      <c r="AE1159" s="129"/>
      <c r="AF1159" s="129"/>
      <c r="AG1159" s="129"/>
    </row>
    <row r="1160" spans="1:33" ht="14.25">
      <c r="A1160" s="186"/>
      <c r="B1160" s="129"/>
      <c r="C1160" s="187"/>
      <c r="D1160" s="129"/>
      <c r="E1160" s="187"/>
      <c r="F1160" s="129"/>
      <c r="G1160" s="187"/>
      <c r="H1160" s="129"/>
      <c r="I1160" s="129"/>
      <c r="J1160" s="129"/>
      <c r="K1160" s="129"/>
      <c r="L1160" s="129"/>
      <c r="M1160" s="129"/>
      <c r="N1160" s="129"/>
      <c r="O1160" s="346"/>
      <c r="P1160" s="347"/>
    </row>
    <row r="1161" spans="1:33" ht="14.25">
      <c r="A1161" s="190"/>
      <c r="C1161" s="193" t="s">
        <v>525</v>
      </c>
      <c r="E1161" s="193"/>
      <c r="G1161" s="193"/>
      <c r="O1161" s="379"/>
    </row>
    <row r="1162" spans="1:33" ht="14.25" customHeight="1">
      <c r="A1162" s="186"/>
      <c r="B1162" s="191" t="s">
        <v>92</v>
      </c>
      <c r="C1162" s="200">
        <v>3</v>
      </c>
      <c r="D1162" s="261" t="s">
        <v>82</v>
      </c>
      <c r="E1162" s="187"/>
      <c r="F1162" s="129"/>
      <c r="G1162" s="187"/>
      <c r="H1162" s="129"/>
      <c r="I1162" s="129"/>
      <c r="J1162" s="129"/>
      <c r="K1162" s="129"/>
      <c r="L1162" s="129"/>
      <c r="M1162" s="129"/>
      <c r="N1162" s="129"/>
      <c r="O1162" s="346"/>
      <c r="P1162" s="347"/>
    </row>
    <row r="1163" spans="1:33" ht="14.25" customHeight="1">
      <c r="A1163" s="186"/>
      <c r="B1163" s="191"/>
      <c r="C1163" s="200"/>
      <c r="D1163" s="261"/>
      <c r="E1163" s="187"/>
      <c r="F1163" s="129"/>
      <c r="G1163" s="187"/>
      <c r="H1163" s="129"/>
      <c r="I1163" s="129"/>
      <c r="J1163" s="129"/>
      <c r="K1163" s="129"/>
      <c r="L1163" s="129"/>
      <c r="M1163" s="129"/>
      <c r="N1163" s="129"/>
      <c r="O1163" s="346"/>
      <c r="P1163" s="347"/>
    </row>
    <row r="1164" spans="1:33">
      <c r="A1164" s="245" t="s">
        <v>532</v>
      </c>
      <c r="B1164" s="553" t="s">
        <v>1283</v>
      </c>
      <c r="C1164" s="550"/>
      <c r="D1164" s="550"/>
      <c r="E1164" s="550"/>
      <c r="F1164" s="550"/>
      <c r="G1164" s="550"/>
      <c r="H1164" s="550"/>
      <c r="I1164" s="550"/>
      <c r="J1164" s="550"/>
      <c r="K1164" s="550"/>
      <c r="L1164" s="550"/>
      <c r="M1164" s="550"/>
      <c r="N1164" s="550"/>
      <c r="O1164" s="252">
        <v>89620</v>
      </c>
      <c r="P1164" s="350"/>
      <c r="Q1164" s="129"/>
      <c r="R1164" s="129"/>
      <c r="S1164" s="129"/>
      <c r="T1164" s="129"/>
      <c r="U1164" s="129"/>
      <c r="V1164" s="129"/>
      <c r="W1164" s="129"/>
      <c r="X1164" s="129"/>
      <c r="Y1164" s="129"/>
      <c r="Z1164" s="129"/>
      <c r="AA1164" s="129"/>
      <c r="AB1164" s="129"/>
      <c r="AC1164" s="129"/>
      <c r="AD1164" s="129"/>
      <c r="AE1164" s="129"/>
      <c r="AF1164" s="129"/>
      <c r="AG1164" s="129"/>
    </row>
    <row r="1165" spans="1:33" ht="14.25">
      <c r="A1165" s="186"/>
      <c r="B1165" s="129"/>
      <c r="C1165" s="187"/>
      <c r="D1165" s="129"/>
      <c r="E1165" s="187"/>
      <c r="F1165" s="129"/>
      <c r="G1165" s="187"/>
      <c r="H1165" s="129"/>
      <c r="I1165" s="129"/>
      <c r="J1165" s="129"/>
      <c r="K1165" s="129"/>
      <c r="L1165" s="129"/>
      <c r="M1165" s="129"/>
      <c r="N1165" s="129"/>
      <c r="O1165" s="346"/>
      <c r="P1165" s="347"/>
    </row>
    <row r="1166" spans="1:33" ht="14.25">
      <c r="A1166" s="190"/>
      <c r="C1166" s="193" t="s">
        <v>525</v>
      </c>
      <c r="E1166" s="193"/>
      <c r="G1166" s="193"/>
      <c r="O1166" s="379"/>
    </row>
    <row r="1167" spans="1:33" ht="14.25" customHeight="1">
      <c r="A1167" s="186"/>
      <c r="B1167" s="191" t="s">
        <v>92</v>
      </c>
      <c r="C1167" s="200">
        <v>7</v>
      </c>
      <c r="D1167" s="261" t="s">
        <v>82</v>
      </c>
      <c r="E1167" s="187"/>
      <c r="F1167" s="129"/>
      <c r="G1167" s="187"/>
      <c r="H1167" s="129"/>
      <c r="I1167" s="129"/>
      <c r="J1167" s="129"/>
      <c r="K1167" s="129"/>
      <c r="L1167" s="129"/>
      <c r="M1167" s="129"/>
      <c r="N1167" s="129"/>
      <c r="O1167" s="346"/>
      <c r="P1167" s="347"/>
    </row>
    <row r="1168" spans="1:33" ht="14.25" customHeight="1">
      <c r="A1168" s="186"/>
      <c r="B1168" s="191"/>
      <c r="C1168" s="200"/>
      <c r="D1168" s="261"/>
      <c r="E1168" s="187"/>
      <c r="F1168" s="129"/>
      <c r="G1168" s="187"/>
      <c r="H1168" s="129"/>
      <c r="I1168" s="129"/>
      <c r="J1168" s="129"/>
      <c r="K1168" s="129"/>
      <c r="L1168" s="129"/>
      <c r="M1168" s="129"/>
      <c r="N1168" s="129"/>
      <c r="O1168" s="346"/>
      <c r="P1168" s="347"/>
    </row>
    <row r="1169" spans="1:33">
      <c r="A1169" s="245" t="s">
        <v>534</v>
      </c>
      <c r="B1169" s="553" t="s">
        <v>1284</v>
      </c>
      <c r="C1169" s="550"/>
      <c r="D1169" s="550"/>
      <c r="E1169" s="550"/>
      <c r="F1169" s="550"/>
      <c r="G1169" s="550"/>
      <c r="H1169" s="550"/>
      <c r="I1169" s="550"/>
      <c r="J1169" s="550"/>
      <c r="K1169" s="550"/>
      <c r="L1169" s="550"/>
      <c r="M1169" s="550"/>
      <c r="N1169" s="550"/>
      <c r="O1169" s="252">
        <v>104011</v>
      </c>
      <c r="P1169" s="350"/>
      <c r="Q1169" s="129"/>
      <c r="R1169" s="129"/>
      <c r="S1169" s="129"/>
      <c r="T1169" s="129"/>
      <c r="U1169" s="129"/>
      <c r="V1169" s="129"/>
      <c r="W1169" s="129"/>
      <c r="X1169" s="129"/>
      <c r="Y1169" s="129"/>
      <c r="Z1169" s="129"/>
      <c r="AA1169" s="129"/>
      <c r="AB1169" s="129"/>
      <c r="AC1169" s="129"/>
      <c r="AD1169" s="129"/>
      <c r="AE1169" s="129"/>
      <c r="AF1169" s="129"/>
      <c r="AG1169" s="129"/>
    </row>
    <row r="1170" spans="1:33" ht="14.25">
      <c r="A1170" s="186"/>
      <c r="B1170" s="129"/>
      <c r="C1170" s="187"/>
      <c r="D1170" s="129"/>
      <c r="E1170" s="187"/>
      <c r="F1170" s="129"/>
      <c r="G1170" s="187"/>
      <c r="H1170" s="129"/>
      <c r="I1170" s="129"/>
      <c r="J1170" s="129"/>
      <c r="K1170" s="129"/>
      <c r="L1170" s="129"/>
      <c r="M1170" s="129"/>
      <c r="N1170" s="129"/>
      <c r="O1170" s="346"/>
      <c r="P1170" s="347"/>
    </row>
    <row r="1171" spans="1:33" ht="14.25">
      <c r="A1171" s="190"/>
      <c r="C1171" s="193" t="s">
        <v>525</v>
      </c>
      <c r="E1171" s="193"/>
      <c r="G1171" s="193"/>
      <c r="O1171" s="379"/>
    </row>
    <row r="1172" spans="1:33" ht="14.25" customHeight="1">
      <c r="A1172" s="186"/>
      <c r="B1172" s="191" t="s">
        <v>92</v>
      </c>
      <c r="C1172" s="200">
        <v>4</v>
      </c>
      <c r="D1172" s="261" t="s">
        <v>82</v>
      </c>
      <c r="E1172" s="187"/>
      <c r="F1172" s="129"/>
      <c r="G1172" s="187"/>
      <c r="H1172" s="129"/>
      <c r="I1172" s="129"/>
      <c r="J1172" s="129"/>
      <c r="K1172" s="129"/>
      <c r="L1172" s="129"/>
      <c r="M1172" s="129"/>
      <c r="N1172" s="129"/>
      <c r="O1172" s="346"/>
      <c r="P1172" s="347"/>
    </row>
    <row r="1173" spans="1:33" ht="14.25" customHeight="1">
      <c r="A1173" s="186"/>
      <c r="B1173" s="191"/>
      <c r="C1173" s="200"/>
      <c r="D1173" s="261"/>
      <c r="E1173" s="187"/>
      <c r="F1173" s="129"/>
      <c r="G1173" s="187"/>
      <c r="H1173" s="129"/>
      <c r="I1173" s="129"/>
      <c r="J1173" s="129"/>
      <c r="K1173" s="129"/>
      <c r="L1173" s="129"/>
      <c r="M1173" s="129"/>
      <c r="N1173" s="129"/>
      <c r="O1173" s="346"/>
      <c r="P1173" s="347"/>
    </row>
    <row r="1174" spans="1:33">
      <c r="A1174" s="245" t="s">
        <v>536</v>
      </c>
      <c r="B1174" s="553" t="s">
        <v>535</v>
      </c>
      <c r="C1174" s="550"/>
      <c r="D1174" s="550"/>
      <c r="E1174" s="550"/>
      <c r="F1174" s="550"/>
      <c r="G1174" s="550"/>
      <c r="H1174" s="550"/>
      <c r="I1174" s="550"/>
      <c r="J1174" s="550"/>
      <c r="K1174" s="550"/>
      <c r="L1174" s="550"/>
      <c r="M1174" s="550"/>
      <c r="N1174" s="550"/>
      <c r="O1174" s="252">
        <v>89625</v>
      </c>
      <c r="P1174" s="350"/>
      <c r="Q1174" s="129"/>
      <c r="R1174" s="129"/>
      <c r="S1174" s="129"/>
      <c r="T1174" s="129"/>
      <c r="U1174" s="129"/>
      <c r="V1174" s="129"/>
      <c r="W1174" s="129"/>
      <c r="X1174" s="129"/>
      <c r="Y1174" s="129"/>
      <c r="Z1174" s="129"/>
      <c r="AA1174" s="129"/>
      <c r="AB1174" s="129"/>
      <c r="AC1174" s="129"/>
      <c r="AD1174" s="129"/>
      <c r="AE1174" s="129"/>
      <c r="AF1174" s="129"/>
      <c r="AG1174" s="129"/>
    </row>
    <row r="1175" spans="1:33" ht="14.25">
      <c r="A1175" s="186"/>
      <c r="B1175" s="129"/>
      <c r="C1175" s="187"/>
      <c r="D1175" s="129"/>
      <c r="E1175" s="187"/>
      <c r="F1175" s="129"/>
      <c r="G1175" s="187"/>
      <c r="H1175" s="129"/>
      <c r="I1175" s="129"/>
      <c r="J1175" s="129"/>
      <c r="K1175" s="129"/>
      <c r="L1175" s="129"/>
      <c r="M1175" s="129"/>
      <c r="N1175" s="129"/>
      <c r="O1175" s="346"/>
      <c r="P1175" s="347"/>
    </row>
    <row r="1176" spans="1:33" ht="14.25">
      <c r="A1176" s="190"/>
      <c r="C1176" s="193" t="s">
        <v>525</v>
      </c>
      <c r="E1176" s="193"/>
      <c r="G1176" s="193"/>
      <c r="O1176" s="379"/>
    </row>
    <row r="1177" spans="1:33" ht="14.25" customHeight="1">
      <c r="A1177" s="186"/>
      <c r="B1177" s="191" t="s">
        <v>92</v>
      </c>
      <c r="C1177" s="200">
        <v>3</v>
      </c>
      <c r="D1177" s="261" t="s">
        <v>82</v>
      </c>
      <c r="E1177" s="187"/>
      <c r="F1177" s="129"/>
      <c r="G1177" s="187"/>
      <c r="H1177" s="129"/>
      <c r="I1177" s="129"/>
      <c r="J1177" s="129"/>
      <c r="K1177" s="129"/>
      <c r="L1177" s="129"/>
      <c r="M1177" s="129"/>
      <c r="N1177" s="129"/>
      <c r="O1177" s="346"/>
      <c r="P1177" s="347"/>
    </row>
    <row r="1178" spans="1:33" ht="14.25" customHeight="1">
      <c r="A1178" s="186"/>
      <c r="B1178" s="191"/>
      <c r="C1178" s="200"/>
      <c r="D1178" s="261"/>
      <c r="E1178" s="187"/>
      <c r="F1178" s="129"/>
      <c r="G1178" s="187"/>
      <c r="H1178" s="129"/>
      <c r="I1178" s="129"/>
      <c r="J1178" s="129"/>
      <c r="K1178" s="129"/>
      <c r="L1178" s="129"/>
      <c r="M1178" s="129"/>
      <c r="N1178" s="129"/>
      <c r="O1178" s="346"/>
      <c r="P1178" s="347"/>
    </row>
    <row r="1179" spans="1:33">
      <c r="A1179" s="245" t="s">
        <v>538</v>
      </c>
      <c r="B1179" s="553" t="s">
        <v>537</v>
      </c>
      <c r="C1179" s="550"/>
      <c r="D1179" s="550"/>
      <c r="E1179" s="550"/>
      <c r="F1179" s="550"/>
      <c r="G1179" s="550"/>
      <c r="H1179" s="550"/>
      <c r="I1179" s="550"/>
      <c r="J1179" s="550"/>
      <c r="K1179" s="550"/>
      <c r="L1179" s="550"/>
      <c r="M1179" s="550"/>
      <c r="N1179" s="550"/>
      <c r="O1179" s="252">
        <v>89629</v>
      </c>
      <c r="P1179" s="350"/>
      <c r="Q1179" s="129"/>
      <c r="R1179" s="129"/>
      <c r="S1179" s="129"/>
      <c r="T1179" s="129"/>
      <c r="U1179" s="129"/>
      <c r="V1179" s="129"/>
      <c r="W1179" s="129"/>
      <c r="X1179" s="129"/>
      <c r="Y1179" s="129"/>
      <c r="Z1179" s="129"/>
      <c r="AA1179" s="129"/>
      <c r="AB1179" s="129"/>
      <c r="AC1179" s="129"/>
      <c r="AD1179" s="129"/>
      <c r="AE1179" s="129"/>
      <c r="AF1179" s="129"/>
      <c r="AG1179" s="129"/>
    </row>
    <row r="1180" spans="1:33" ht="14.25">
      <c r="A1180" s="186"/>
      <c r="B1180" s="129"/>
      <c r="C1180" s="187"/>
      <c r="D1180" s="129"/>
      <c r="E1180" s="187"/>
      <c r="F1180" s="129"/>
      <c r="G1180" s="187"/>
      <c r="H1180" s="129"/>
      <c r="I1180" s="129"/>
      <c r="J1180" s="129"/>
      <c r="K1180" s="129"/>
      <c r="L1180" s="129"/>
      <c r="M1180" s="129"/>
      <c r="N1180" s="129"/>
      <c r="O1180" s="346"/>
      <c r="P1180" s="347"/>
    </row>
    <row r="1181" spans="1:33" ht="14.25">
      <c r="A1181" s="190"/>
      <c r="C1181" s="193" t="s">
        <v>525</v>
      </c>
      <c r="E1181" s="193"/>
      <c r="G1181" s="193"/>
      <c r="O1181" s="379"/>
    </row>
    <row r="1182" spans="1:33" ht="14.25" customHeight="1">
      <c r="A1182" s="186"/>
      <c r="B1182" s="191" t="s">
        <v>92</v>
      </c>
      <c r="C1182" s="200">
        <v>1</v>
      </c>
      <c r="D1182" s="261" t="s">
        <v>82</v>
      </c>
      <c r="E1182" s="187"/>
      <c r="F1182" s="129"/>
      <c r="G1182" s="187"/>
      <c r="H1182" s="129"/>
      <c r="I1182" s="129"/>
      <c r="J1182" s="129"/>
      <c r="K1182" s="129"/>
      <c r="L1182" s="129"/>
      <c r="M1182" s="129"/>
      <c r="N1182" s="129"/>
      <c r="O1182" s="346"/>
      <c r="P1182" s="347"/>
    </row>
    <row r="1183" spans="1:33" ht="14.25" customHeight="1">
      <c r="A1183" s="186"/>
      <c r="B1183" s="191"/>
      <c r="C1183" s="200"/>
      <c r="D1183" s="261"/>
      <c r="E1183" s="187"/>
      <c r="F1183" s="129"/>
      <c r="G1183" s="187"/>
      <c r="H1183" s="129"/>
      <c r="I1183" s="129"/>
      <c r="J1183" s="129"/>
      <c r="K1183" s="129"/>
      <c r="L1183" s="129"/>
      <c r="M1183" s="129"/>
      <c r="N1183" s="129"/>
      <c r="O1183" s="346"/>
      <c r="P1183" s="347"/>
    </row>
    <row r="1184" spans="1:33">
      <c r="A1184" s="245" t="s">
        <v>540</v>
      </c>
      <c r="B1184" s="553" t="s">
        <v>539</v>
      </c>
      <c r="C1184" s="550"/>
      <c r="D1184" s="550"/>
      <c r="E1184" s="550"/>
      <c r="F1184" s="550"/>
      <c r="G1184" s="550"/>
      <c r="H1184" s="550"/>
      <c r="I1184" s="550"/>
      <c r="J1184" s="550"/>
      <c r="K1184" s="550"/>
      <c r="L1184" s="550"/>
      <c r="M1184" s="550"/>
      <c r="N1184" s="550"/>
      <c r="O1184" s="252">
        <v>90374</v>
      </c>
      <c r="P1184" s="350"/>
      <c r="Q1184" s="129"/>
      <c r="R1184" s="129"/>
      <c r="S1184" s="129"/>
      <c r="T1184" s="129"/>
      <c r="U1184" s="129"/>
      <c r="V1184" s="129"/>
      <c r="W1184" s="129"/>
      <c r="X1184" s="129"/>
      <c r="Y1184" s="129"/>
      <c r="Z1184" s="129"/>
      <c r="AA1184" s="129"/>
      <c r="AB1184" s="129"/>
      <c r="AC1184" s="129"/>
      <c r="AD1184" s="129"/>
      <c r="AE1184" s="129"/>
      <c r="AF1184" s="129"/>
      <c r="AG1184" s="129"/>
    </row>
    <row r="1185" spans="1:33" ht="14.25">
      <c r="A1185" s="186"/>
      <c r="B1185" s="129"/>
      <c r="C1185" s="187"/>
      <c r="D1185" s="129"/>
      <c r="E1185" s="187"/>
      <c r="F1185" s="129"/>
      <c r="G1185" s="187"/>
      <c r="H1185" s="129"/>
      <c r="I1185" s="129"/>
      <c r="J1185" s="129"/>
      <c r="K1185" s="129"/>
      <c r="L1185" s="129"/>
      <c r="M1185" s="129"/>
      <c r="N1185" s="129"/>
      <c r="O1185" s="385"/>
      <c r="P1185" s="347"/>
    </row>
    <row r="1186" spans="1:33" ht="14.25">
      <c r="A1186" s="190"/>
      <c r="C1186" s="193" t="s">
        <v>525</v>
      </c>
      <c r="E1186" s="193"/>
      <c r="G1186" s="193"/>
      <c r="O1186" s="379"/>
    </row>
    <row r="1187" spans="1:33" ht="14.25" customHeight="1">
      <c r="A1187" s="186"/>
      <c r="B1187" s="191" t="s">
        <v>92</v>
      </c>
      <c r="C1187" s="200">
        <v>17</v>
      </c>
      <c r="D1187" s="261" t="s">
        <v>82</v>
      </c>
      <c r="E1187" s="187"/>
      <c r="F1187" s="129"/>
      <c r="G1187" s="187"/>
      <c r="H1187" s="129"/>
      <c r="I1187" s="129"/>
      <c r="J1187" s="129"/>
      <c r="K1187" s="129"/>
      <c r="L1187" s="129"/>
      <c r="M1187" s="129"/>
      <c r="N1187" s="129"/>
      <c r="O1187" s="346"/>
      <c r="P1187" s="347"/>
    </row>
    <row r="1188" spans="1:33" ht="14.25" customHeight="1">
      <c r="A1188" s="186"/>
      <c r="B1188" s="191"/>
      <c r="C1188" s="200"/>
      <c r="D1188" s="261"/>
      <c r="E1188" s="187"/>
      <c r="F1188" s="129"/>
      <c r="G1188" s="187"/>
      <c r="H1188" s="129"/>
      <c r="I1188" s="129"/>
      <c r="J1188" s="129"/>
      <c r="K1188" s="129"/>
      <c r="L1188" s="129"/>
      <c r="M1188" s="129"/>
      <c r="N1188" s="129"/>
      <c r="O1188" s="346"/>
      <c r="P1188" s="347"/>
    </row>
    <row r="1189" spans="1:33">
      <c r="A1189" s="245" t="s">
        <v>542</v>
      </c>
      <c r="B1189" s="553" t="s">
        <v>1285</v>
      </c>
      <c r="C1189" s="550"/>
      <c r="D1189" s="550"/>
      <c r="E1189" s="550"/>
      <c r="F1189" s="550"/>
      <c r="G1189" s="550"/>
      <c r="H1189" s="550"/>
      <c r="I1189" s="550"/>
      <c r="J1189" s="550"/>
      <c r="K1189" s="550"/>
      <c r="L1189" s="550"/>
      <c r="M1189" s="550"/>
      <c r="N1189" s="550"/>
      <c r="O1189" s="252">
        <v>89399</v>
      </c>
      <c r="P1189" s="350"/>
      <c r="Q1189" s="129"/>
      <c r="R1189" s="129"/>
      <c r="S1189" s="129"/>
      <c r="T1189" s="129"/>
      <c r="U1189" s="129"/>
      <c r="V1189" s="129"/>
      <c r="W1189" s="129"/>
      <c r="X1189" s="129"/>
      <c r="Y1189" s="129"/>
      <c r="Z1189" s="129"/>
      <c r="AA1189" s="129"/>
      <c r="AB1189" s="129"/>
      <c r="AC1189" s="129"/>
      <c r="AD1189" s="129"/>
      <c r="AE1189" s="129"/>
      <c r="AF1189" s="129"/>
      <c r="AG1189" s="129"/>
    </row>
    <row r="1190" spans="1:33" ht="14.25">
      <c r="A1190" s="186"/>
      <c r="B1190" s="129"/>
      <c r="C1190" s="187"/>
      <c r="D1190" s="129"/>
      <c r="E1190" s="187"/>
      <c r="F1190" s="129"/>
      <c r="G1190" s="187"/>
      <c r="H1190" s="129"/>
      <c r="I1190" s="129"/>
      <c r="J1190" s="129"/>
      <c r="K1190" s="129"/>
      <c r="L1190" s="129"/>
      <c r="M1190" s="129"/>
      <c r="N1190" s="129"/>
      <c r="O1190" s="385"/>
      <c r="P1190" s="347"/>
    </row>
    <row r="1191" spans="1:33" ht="14.25">
      <c r="A1191" s="190"/>
      <c r="C1191" s="193" t="s">
        <v>525</v>
      </c>
      <c r="E1191" s="193"/>
      <c r="G1191" s="193"/>
      <c r="O1191" s="379"/>
    </row>
    <row r="1192" spans="1:33" ht="14.25" customHeight="1">
      <c r="A1192" s="186"/>
      <c r="B1192" s="191" t="s">
        <v>92</v>
      </c>
      <c r="C1192" s="200">
        <v>1</v>
      </c>
      <c r="D1192" s="261" t="s">
        <v>82</v>
      </c>
      <c r="E1192" s="187"/>
      <c r="F1192" s="129"/>
      <c r="G1192" s="187"/>
      <c r="H1192" s="129"/>
      <c r="I1192" s="129"/>
      <c r="J1192" s="129"/>
      <c r="K1192" s="129"/>
      <c r="L1192" s="129"/>
      <c r="M1192" s="129"/>
      <c r="N1192" s="129"/>
      <c r="O1192" s="346"/>
      <c r="P1192" s="347"/>
    </row>
    <row r="1193" spans="1:33" ht="14.25" customHeight="1">
      <c r="A1193" s="186"/>
      <c r="B1193" s="191"/>
      <c r="C1193" s="200"/>
      <c r="D1193" s="261"/>
      <c r="E1193" s="187"/>
      <c r="F1193" s="129"/>
      <c r="G1193" s="187"/>
      <c r="H1193" s="129"/>
      <c r="I1193" s="129"/>
      <c r="J1193" s="129"/>
      <c r="K1193" s="129"/>
      <c r="L1193" s="129"/>
      <c r="M1193" s="129"/>
      <c r="N1193" s="129"/>
      <c r="O1193" s="346"/>
      <c r="P1193" s="347"/>
    </row>
    <row r="1194" spans="1:33">
      <c r="A1194" s="247" t="s">
        <v>543</v>
      </c>
      <c r="B1194" s="548" t="s">
        <v>541</v>
      </c>
      <c r="C1194" s="548"/>
      <c r="D1194" s="548"/>
      <c r="E1194" s="548"/>
      <c r="F1194" s="548"/>
      <c r="G1194" s="548"/>
      <c r="H1194" s="548"/>
      <c r="I1194" s="548"/>
      <c r="J1194" s="548"/>
      <c r="K1194" s="548"/>
      <c r="L1194" s="548"/>
      <c r="M1194" s="548"/>
      <c r="N1194" s="548"/>
      <c r="O1194" s="378" t="s">
        <v>1025</v>
      </c>
      <c r="P1194" s="361" t="s">
        <v>74</v>
      </c>
    </row>
    <row r="1195" spans="1:33">
      <c r="A1195" s="202"/>
      <c r="B1195" s="249"/>
      <c r="C1195" s="249"/>
      <c r="D1195" s="249"/>
      <c r="E1195" s="249"/>
      <c r="F1195" s="249"/>
      <c r="G1195" s="249"/>
      <c r="H1195" s="249"/>
      <c r="I1195" s="249"/>
      <c r="J1195" s="249"/>
      <c r="K1195" s="249"/>
      <c r="L1195" s="249"/>
      <c r="M1195" s="249"/>
      <c r="N1195" s="249"/>
      <c r="O1195" s="378"/>
      <c r="P1195" s="361"/>
    </row>
    <row r="1196" spans="1:33" ht="14.25">
      <c r="A1196" s="190"/>
      <c r="C1196" s="193" t="s">
        <v>525</v>
      </c>
      <c r="E1196" s="193"/>
      <c r="G1196" s="193"/>
      <c r="O1196" s="379"/>
    </row>
    <row r="1197" spans="1:33">
      <c r="A1197" s="190"/>
      <c r="B1197" s="191" t="s">
        <v>92</v>
      </c>
      <c r="C1197" s="192">
        <v>1</v>
      </c>
      <c r="D1197" s="191" t="s">
        <v>82</v>
      </c>
      <c r="E1197" s="193"/>
      <c r="G1197" s="193"/>
      <c r="O1197" s="379"/>
    </row>
    <row r="1198" spans="1:33" ht="15" customHeight="1">
      <c r="A1198" s="190"/>
      <c r="C1198" s="193"/>
      <c r="E1198" s="193"/>
      <c r="G1198" s="193"/>
      <c r="O1198" s="379"/>
    </row>
    <row r="1199" spans="1:33">
      <c r="A1199" s="247" t="s">
        <v>545</v>
      </c>
      <c r="B1199" s="548" t="s">
        <v>1110</v>
      </c>
      <c r="C1199" s="548"/>
      <c r="D1199" s="548"/>
      <c r="E1199" s="548"/>
      <c r="F1199" s="548"/>
      <c r="G1199" s="548"/>
      <c r="H1199" s="548"/>
      <c r="I1199" s="548"/>
      <c r="J1199" s="548"/>
      <c r="K1199" s="548"/>
      <c r="L1199" s="548"/>
      <c r="M1199" s="548"/>
      <c r="N1199" s="548"/>
      <c r="O1199" s="378">
        <v>92637</v>
      </c>
      <c r="P1199" s="361"/>
    </row>
    <row r="1200" spans="1:33">
      <c r="A1200" s="202"/>
      <c r="B1200" s="249"/>
      <c r="C1200" s="249"/>
      <c r="D1200" s="249"/>
      <c r="E1200" s="249"/>
      <c r="F1200" s="249"/>
      <c r="G1200" s="249"/>
      <c r="H1200" s="249"/>
      <c r="I1200" s="249"/>
      <c r="J1200" s="249"/>
      <c r="K1200" s="249"/>
      <c r="L1200" s="249"/>
      <c r="M1200" s="249"/>
      <c r="N1200" s="249"/>
      <c r="O1200" s="378"/>
      <c r="P1200" s="361"/>
    </row>
    <row r="1201" spans="1:33" ht="14.25">
      <c r="A1201" s="190"/>
      <c r="C1201" s="193" t="s">
        <v>525</v>
      </c>
      <c r="E1201" s="193"/>
      <c r="G1201" s="193"/>
      <c r="O1201" s="379"/>
    </row>
    <row r="1202" spans="1:33">
      <c r="A1202" s="190"/>
      <c r="B1202" s="191" t="s">
        <v>92</v>
      </c>
      <c r="C1202" s="192">
        <v>1</v>
      </c>
      <c r="D1202" s="191" t="s">
        <v>82</v>
      </c>
      <c r="E1202" s="193"/>
      <c r="G1202" s="193"/>
      <c r="O1202" s="379"/>
    </row>
    <row r="1203" spans="1:33">
      <c r="A1203" s="190"/>
      <c r="B1203" s="191"/>
      <c r="C1203" s="192"/>
      <c r="D1203" s="191"/>
      <c r="E1203" s="193"/>
      <c r="G1203" s="193"/>
      <c r="O1203" s="379"/>
    </row>
    <row r="1204" spans="1:33" ht="31.5" customHeight="1">
      <c r="A1204" s="245" t="s">
        <v>547</v>
      </c>
      <c r="B1204" s="544" t="s">
        <v>544</v>
      </c>
      <c r="C1204" s="550"/>
      <c r="D1204" s="550"/>
      <c r="E1204" s="550"/>
      <c r="F1204" s="550"/>
      <c r="G1204" s="550"/>
      <c r="H1204" s="550"/>
      <c r="I1204" s="550"/>
      <c r="J1204" s="550"/>
      <c r="K1204" s="550"/>
      <c r="L1204" s="550"/>
      <c r="M1204" s="550"/>
      <c r="N1204" s="550"/>
      <c r="O1204" s="252" t="s">
        <v>1026</v>
      </c>
      <c r="P1204" s="350" t="s">
        <v>74</v>
      </c>
      <c r="Q1204" s="129"/>
      <c r="R1204" s="129"/>
      <c r="S1204" s="129"/>
      <c r="T1204" s="129"/>
      <c r="U1204" s="129"/>
      <c r="V1204" s="129"/>
      <c r="W1204" s="129"/>
      <c r="X1204" s="129"/>
      <c r="Y1204" s="129"/>
      <c r="Z1204" s="129"/>
      <c r="AA1204" s="129"/>
      <c r="AB1204" s="129"/>
      <c r="AC1204" s="129"/>
      <c r="AD1204" s="129"/>
      <c r="AE1204" s="129"/>
      <c r="AF1204" s="129"/>
      <c r="AG1204" s="129"/>
    </row>
    <row r="1205" spans="1:33" ht="14.25">
      <c r="A1205" s="186"/>
      <c r="B1205" s="129"/>
      <c r="C1205" s="187"/>
      <c r="D1205" s="129"/>
      <c r="E1205" s="187"/>
      <c r="F1205" s="129"/>
      <c r="G1205" s="187"/>
      <c r="H1205" s="129"/>
      <c r="I1205" s="129"/>
      <c r="J1205" s="129"/>
      <c r="K1205" s="129"/>
      <c r="L1205" s="129"/>
      <c r="M1205" s="129"/>
      <c r="N1205" s="129"/>
      <c r="O1205" s="346"/>
      <c r="P1205" s="347"/>
    </row>
    <row r="1206" spans="1:33" ht="14.25">
      <c r="A1206" s="190"/>
      <c r="C1206" s="193" t="s">
        <v>525</v>
      </c>
      <c r="E1206" s="193"/>
      <c r="G1206" s="193"/>
      <c r="O1206" s="379"/>
    </row>
    <row r="1207" spans="1:33" ht="14.25" customHeight="1">
      <c r="A1207" s="186"/>
      <c r="B1207" s="191" t="s">
        <v>92</v>
      </c>
      <c r="C1207" s="200">
        <v>1</v>
      </c>
      <c r="D1207" s="261" t="s">
        <v>82</v>
      </c>
      <c r="E1207" s="187"/>
      <c r="F1207" s="129"/>
      <c r="G1207" s="187"/>
      <c r="H1207" s="129"/>
      <c r="I1207" s="129"/>
      <c r="J1207" s="129"/>
      <c r="K1207" s="129"/>
      <c r="L1207" s="129"/>
      <c r="M1207" s="129"/>
      <c r="N1207" s="129"/>
      <c r="O1207" s="346"/>
      <c r="P1207" s="347"/>
    </row>
    <row r="1208" spans="1:33" ht="14.25" customHeight="1">
      <c r="A1208" s="190"/>
      <c r="C1208" s="193"/>
      <c r="E1208" s="193"/>
      <c r="G1208" s="193"/>
      <c r="O1208" s="339"/>
      <c r="Q1208" s="129"/>
      <c r="R1208" s="129"/>
      <c r="S1208" s="129"/>
      <c r="T1208" s="129"/>
      <c r="U1208" s="129"/>
      <c r="V1208" s="129"/>
      <c r="W1208" s="129"/>
      <c r="X1208" s="129"/>
      <c r="Y1208" s="129"/>
      <c r="Z1208" s="129"/>
      <c r="AA1208" s="129"/>
      <c r="AB1208" s="129"/>
      <c r="AC1208" s="129"/>
      <c r="AD1208" s="129"/>
      <c r="AE1208" s="129"/>
      <c r="AF1208" s="129"/>
      <c r="AG1208" s="129"/>
    </row>
    <row r="1209" spans="1:33" ht="31.5" customHeight="1">
      <c r="A1209" s="245" t="s">
        <v>548</v>
      </c>
      <c r="B1209" s="544" t="s">
        <v>546</v>
      </c>
      <c r="C1209" s="550"/>
      <c r="D1209" s="550"/>
      <c r="E1209" s="550"/>
      <c r="F1209" s="550"/>
      <c r="G1209" s="550"/>
      <c r="H1209" s="550"/>
      <c r="I1209" s="550"/>
      <c r="J1209" s="550"/>
      <c r="K1209" s="550"/>
      <c r="L1209" s="550"/>
      <c r="M1209" s="550"/>
      <c r="N1209" s="550"/>
      <c r="O1209" s="252" t="s">
        <v>1109</v>
      </c>
      <c r="P1209" s="350" t="s">
        <v>74</v>
      </c>
      <c r="Q1209" s="129"/>
      <c r="R1209" s="129"/>
      <c r="S1209" s="129"/>
      <c r="T1209" s="129"/>
      <c r="U1209" s="129"/>
      <c r="V1209" s="129"/>
      <c r="W1209" s="129"/>
      <c r="X1209" s="129"/>
      <c r="Y1209" s="129"/>
      <c r="Z1209" s="129"/>
      <c r="AA1209" s="129"/>
      <c r="AB1209" s="129"/>
      <c r="AC1209" s="129"/>
      <c r="AD1209" s="129"/>
      <c r="AE1209" s="129"/>
      <c r="AF1209" s="129"/>
      <c r="AG1209" s="129"/>
    </row>
    <row r="1210" spans="1:33" ht="14.25">
      <c r="A1210" s="186"/>
      <c r="B1210" s="129"/>
      <c r="C1210" s="187"/>
      <c r="D1210" s="129"/>
      <c r="E1210" s="187"/>
      <c r="F1210" s="129"/>
      <c r="G1210" s="187"/>
      <c r="H1210" s="129"/>
      <c r="I1210" s="129"/>
      <c r="J1210" s="129"/>
      <c r="K1210" s="129"/>
      <c r="L1210" s="129"/>
      <c r="M1210" s="129"/>
      <c r="N1210" s="129"/>
      <c r="O1210" s="346"/>
      <c r="P1210" s="347"/>
    </row>
    <row r="1211" spans="1:33" ht="14.25">
      <c r="A1211" s="190"/>
      <c r="C1211" s="193" t="s">
        <v>525</v>
      </c>
      <c r="E1211" s="193"/>
      <c r="G1211" s="193"/>
      <c r="O1211" s="379"/>
    </row>
    <row r="1212" spans="1:33" ht="14.25" customHeight="1">
      <c r="A1212" s="186"/>
      <c r="B1212" s="191" t="s">
        <v>92</v>
      </c>
      <c r="C1212" s="200">
        <v>2</v>
      </c>
      <c r="D1212" s="261" t="s">
        <v>82</v>
      </c>
      <c r="E1212" s="187"/>
      <c r="F1212" s="129"/>
      <c r="J1212" s="193"/>
      <c r="O1212" s="346"/>
      <c r="P1212" s="347"/>
    </row>
    <row r="1213" spans="1:33" ht="14.25" customHeight="1">
      <c r="A1213" s="190"/>
      <c r="C1213" s="193"/>
      <c r="E1213" s="193"/>
      <c r="G1213" s="193"/>
      <c r="O1213" s="339"/>
      <c r="Q1213" s="129"/>
      <c r="R1213" s="129"/>
      <c r="S1213" s="129"/>
      <c r="T1213" s="129"/>
      <c r="U1213" s="129"/>
      <c r="V1213" s="129"/>
      <c r="W1213" s="129"/>
      <c r="X1213" s="129"/>
      <c r="Y1213" s="129"/>
      <c r="Z1213" s="129"/>
      <c r="AA1213" s="129"/>
      <c r="AB1213" s="129"/>
      <c r="AC1213" s="129"/>
      <c r="AD1213" s="129"/>
      <c r="AE1213" s="129"/>
      <c r="AF1213" s="129"/>
      <c r="AG1213" s="129"/>
    </row>
    <row r="1214" spans="1:33">
      <c r="A1214" s="247" t="s">
        <v>550</v>
      </c>
      <c r="B1214" s="548" t="s">
        <v>549</v>
      </c>
      <c r="C1214" s="548"/>
      <c r="D1214" s="548"/>
      <c r="E1214" s="548"/>
      <c r="F1214" s="548"/>
      <c r="G1214" s="548"/>
      <c r="H1214" s="548"/>
      <c r="I1214" s="548"/>
      <c r="J1214" s="548"/>
      <c r="K1214" s="548"/>
      <c r="L1214" s="548"/>
      <c r="M1214" s="548"/>
      <c r="N1214" s="548"/>
      <c r="O1214" s="378">
        <v>89481</v>
      </c>
      <c r="P1214" s="361"/>
    </row>
    <row r="1215" spans="1:33">
      <c r="A1215" s="202"/>
      <c r="B1215" s="249"/>
      <c r="C1215" s="249"/>
      <c r="D1215" s="249"/>
      <c r="E1215" s="249"/>
      <c r="F1215" s="249"/>
      <c r="G1215" s="249"/>
      <c r="H1215" s="249"/>
      <c r="I1215" s="249"/>
      <c r="J1215" s="249"/>
      <c r="K1215" s="249"/>
      <c r="L1215" s="249"/>
      <c r="M1215" s="249"/>
      <c r="N1215" s="249"/>
      <c r="O1215" s="378"/>
      <c r="P1215" s="361"/>
    </row>
    <row r="1216" spans="1:33" ht="14.25">
      <c r="A1216" s="190"/>
      <c r="C1216" s="193" t="s">
        <v>525</v>
      </c>
      <c r="E1216" s="193"/>
      <c r="G1216" s="193"/>
      <c r="O1216" s="379"/>
    </row>
    <row r="1217" spans="1:33">
      <c r="A1217" s="190"/>
      <c r="B1217" s="191" t="s">
        <v>92</v>
      </c>
      <c r="C1217" s="192">
        <v>125</v>
      </c>
      <c r="D1217" s="191" t="s">
        <v>82</v>
      </c>
      <c r="E1217" s="193"/>
      <c r="G1217" s="193"/>
      <c r="O1217" s="379"/>
    </row>
    <row r="1218" spans="1:33" ht="15" customHeight="1">
      <c r="A1218" s="190"/>
      <c r="C1218" s="193"/>
      <c r="E1218" s="193"/>
      <c r="G1218" s="193"/>
      <c r="O1218" s="379"/>
    </row>
    <row r="1219" spans="1:33">
      <c r="A1219" s="247" t="s">
        <v>552</v>
      </c>
      <c r="B1219" s="548" t="s">
        <v>1288</v>
      </c>
      <c r="C1219" s="548"/>
      <c r="D1219" s="548"/>
      <c r="E1219" s="548"/>
      <c r="F1219" s="548"/>
      <c r="G1219" s="548"/>
      <c r="H1219" s="548"/>
      <c r="I1219" s="548"/>
      <c r="J1219" s="548"/>
      <c r="K1219" s="548"/>
      <c r="L1219" s="548"/>
      <c r="M1219" s="548"/>
      <c r="N1219" s="548"/>
      <c r="O1219" s="378">
        <v>89367</v>
      </c>
      <c r="P1219" s="361"/>
    </row>
    <row r="1220" spans="1:33">
      <c r="A1220" s="202"/>
      <c r="B1220" s="249"/>
      <c r="C1220" s="249"/>
      <c r="D1220" s="249"/>
      <c r="E1220" s="249"/>
      <c r="F1220" s="249"/>
      <c r="G1220" s="249"/>
      <c r="H1220" s="249"/>
      <c r="I1220" s="249"/>
      <c r="J1220" s="249"/>
      <c r="K1220" s="249"/>
      <c r="L1220" s="249"/>
      <c r="M1220" s="249"/>
      <c r="N1220" s="249"/>
      <c r="O1220" s="378"/>
      <c r="P1220" s="361"/>
    </row>
    <row r="1221" spans="1:33" ht="14.25">
      <c r="A1221" s="190"/>
      <c r="C1221" s="193" t="s">
        <v>525</v>
      </c>
      <c r="E1221" s="193"/>
      <c r="G1221" s="193"/>
      <c r="O1221" s="379"/>
    </row>
    <row r="1222" spans="1:33">
      <c r="A1222" s="190"/>
      <c r="B1222" s="191" t="s">
        <v>92</v>
      </c>
      <c r="C1222" s="192">
        <v>20</v>
      </c>
      <c r="D1222" s="191" t="s">
        <v>82</v>
      </c>
      <c r="E1222" s="193"/>
      <c r="G1222" s="193"/>
      <c r="O1222" s="379"/>
    </row>
    <row r="1223" spans="1:33" ht="15" customHeight="1">
      <c r="A1223" s="190"/>
      <c r="C1223" s="193"/>
      <c r="E1223" s="193"/>
      <c r="G1223" s="193"/>
      <c r="O1223" s="379"/>
    </row>
    <row r="1224" spans="1:33">
      <c r="A1224" s="247" t="s">
        <v>554</v>
      </c>
      <c r="B1224" s="548" t="s">
        <v>1289</v>
      </c>
      <c r="C1224" s="548"/>
      <c r="D1224" s="548"/>
      <c r="E1224" s="548"/>
      <c r="F1224" s="548"/>
      <c r="G1224" s="548"/>
      <c r="H1224" s="548"/>
      <c r="I1224" s="548"/>
      <c r="J1224" s="548"/>
      <c r="K1224" s="548"/>
      <c r="L1224" s="548"/>
      <c r="M1224" s="548"/>
      <c r="N1224" s="548"/>
      <c r="O1224" s="379">
        <v>103980</v>
      </c>
      <c r="P1224" s="361"/>
    </row>
    <row r="1225" spans="1:33">
      <c r="A1225" s="202"/>
      <c r="B1225" s="249"/>
      <c r="C1225" s="249"/>
      <c r="D1225" s="249"/>
      <c r="E1225" s="249"/>
      <c r="F1225" s="249"/>
      <c r="G1225" s="249"/>
      <c r="H1225" s="249"/>
      <c r="I1225" s="249"/>
      <c r="J1225" s="249"/>
      <c r="K1225" s="249"/>
      <c r="L1225" s="249"/>
      <c r="M1225" s="249"/>
      <c r="N1225" s="249"/>
      <c r="O1225" s="378"/>
      <c r="P1225" s="361"/>
    </row>
    <row r="1226" spans="1:33" ht="14.25">
      <c r="A1226" s="190"/>
      <c r="C1226" s="193" t="s">
        <v>525</v>
      </c>
      <c r="E1226" s="193"/>
      <c r="G1226" s="193"/>
      <c r="O1226" s="379"/>
    </row>
    <row r="1227" spans="1:33">
      <c r="A1227" s="190"/>
      <c r="B1227" s="191" t="s">
        <v>92</v>
      </c>
      <c r="C1227" s="192">
        <v>12</v>
      </c>
      <c r="D1227" s="191" t="s">
        <v>82</v>
      </c>
      <c r="E1227" s="193"/>
      <c r="G1227" s="193"/>
      <c r="O1227" s="379"/>
    </row>
    <row r="1228" spans="1:33" ht="15" customHeight="1">
      <c r="A1228" s="190"/>
      <c r="C1228" s="193"/>
      <c r="E1228" s="193"/>
      <c r="G1228" s="193"/>
      <c r="O1228" s="379"/>
    </row>
    <row r="1229" spans="1:33">
      <c r="A1229" s="245" t="s">
        <v>556</v>
      </c>
      <c r="B1229" s="553" t="s">
        <v>551</v>
      </c>
      <c r="C1229" s="550"/>
      <c r="D1229" s="550"/>
      <c r="E1229" s="550"/>
      <c r="F1229" s="550"/>
      <c r="G1229" s="550"/>
      <c r="H1229" s="550"/>
      <c r="I1229" s="550"/>
      <c r="J1229" s="550"/>
      <c r="K1229" s="550"/>
      <c r="L1229" s="550"/>
      <c r="M1229" s="550"/>
      <c r="N1229" s="550"/>
      <c r="O1229" s="252">
        <v>89501</v>
      </c>
      <c r="P1229" s="350"/>
      <c r="Q1229" s="129"/>
      <c r="R1229" s="129"/>
      <c r="S1229" s="129"/>
      <c r="T1229" s="129"/>
      <c r="U1229" s="129"/>
      <c r="V1229" s="129"/>
      <c r="W1229" s="129"/>
      <c r="X1229" s="129"/>
      <c r="Y1229" s="129"/>
      <c r="Z1229" s="129"/>
      <c r="AA1229" s="129"/>
      <c r="AB1229" s="129"/>
      <c r="AC1229" s="129"/>
      <c r="AD1229" s="129"/>
      <c r="AE1229" s="129"/>
      <c r="AF1229" s="129"/>
      <c r="AG1229" s="129"/>
    </row>
    <row r="1230" spans="1:33" ht="14.25">
      <c r="A1230" s="186"/>
      <c r="B1230" s="129"/>
      <c r="C1230" s="187"/>
      <c r="D1230" s="129"/>
      <c r="E1230" s="187"/>
      <c r="F1230" s="129"/>
      <c r="G1230" s="187"/>
      <c r="H1230" s="129"/>
      <c r="I1230" s="129"/>
      <c r="J1230" s="129"/>
      <c r="K1230" s="129"/>
      <c r="L1230" s="129"/>
      <c r="M1230" s="129"/>
      <c r="N1230" s="129"/>
      <c r="O1230" s="346"/>
      <c r="P1230" s="347"/>
    </row>
    <row r="1231" spans="1:33" ht="14.25">
      <c r="A1231" s="190"/>
      <c r="C1231" s="193" t="s">
        <v>525</v>
      </c>
      <c r="E1231" s="193"/>
      <c r="G1231" s="193"/>
      <c r="O1231" s="379"/>
    </row>
    <row r="1232" spans="1:33" ht="14.25" customHeight="1">
      <c r="A1232" s="186"/>
      <c r="B1232" s="191" t="s">
        <v>92</v>
      </c>
      <c r="C1232" s="200">
        <v>7</v>
      </c>
      <c r="D1232" s="261" t="s">
        <v>82</v>
      </c>
      <c r="E1232" s="187"/>
      <c r="F1232" s="129"/>
      <c r="G1232" s="187"/>
      <c r="H1232" s="129"/>
      <c r="I1232" s="129"/>
      <c r="J1232" s="129"/>
      <c r="K1232" s="129"/>
      <c r="L1232" s="129"/>
      <c r="M1232" s="129"/>
      <c r="N1232" s="129"/>
      <c r="O1232" s="346"/>
      <c r="P1232" s="347"/>
    </row>
    <row r="1233" spans="1:33" ht="14.25" customHeight="1">
      <c r="A1233" s="186"/>
      <c r="B1233" s="191"/>
      <c r="C1233" s="200"/>
      <c r="D1233" s="261"/>
      <c r="E1233" s="187"/>
      <c r="F1233" s="129"/>
      <c r="G1233" s="187"/>
      <c r="H1233" s="129"/>
      <c r="I1233" s="129"/>
      <c r="J1233" s="129"/>
      <c r="K1233" s="129"/>
      <c r="L1233" s="129"/>
      <c r="M1233" s="129"/>
      <c r="N1233" s="129"/>
      <c r="O1233" s="346"/>
      <c r="P1233" s="347"/>
    </row>
    <row r="1234" spans="1:33">
      <c r="A1234" s="245" t="s">
        <v>558</v>
      </c>
      <c r="B1234" s="553" t="s">
        <v>553</v>
      </c>
      <c r="C1234" s="550"/>
      <c r="D1234" s="550"/>
      <c r="E1234" s="550"/>
      <c r="F1234" s="550"/>
      <c r="G1234" s="550"/>
      <c r="H1234" s="550"/>
      <c r="I1234" s="550"/>
      <c r="J1234" s="550"/>
      <c r="K1234" s="550"/>
      <c r="L1234" s="550"/>
      <c r="M1234" s="550"/>
      <c r="N1234" s="550"/>
      <c r="O1234" s="252">
        <v>89505</v>
      </c>
      <c r="P1234" s="350"/>
      <c r="Q1234" s="129"/>
      <c r="R1234" s="129"/>
      <c r="S1234" s="129"/>
      <c r="T1234" s="129"/>
      <c r="U1234" s="129"/>
      <c r="V1234" s="129"/>
      <c r="W1234" s="129"/>
      <c r="X1234" s="129"/>
      <c r="Y1234" s="129"/>
      <c r="Z1234" s="129"/>
      <c r="AA1234" s="129"/>
      <c r="AB1234" s="129"/>
      <c r="AC1234" s="129"/>
      <c r="AD1234" s="129"/>
      <c r="AE1234" s="129"/>
      <c r="AF1234" s="129"/>
      <c r="AG1234" s="129"/>
    </row>
    <row r="1235" spans="1:33" ht="14.25">
      <c r="A1235" s="186"/>
      <c r="B1235" s="129"/>
      <c r="C1235" s="187"/>
      <c r="D1235" s="129"/>
      <c r="E1235" s="187"/>
      <c r="F1235" s="129"/>
      <c r="G1235" s="187"/>
      <c r="H1235" s="129"/>
      <c r="I1235" s="129"/>
      <c r="J1235" s="129"/>
      <c r="K1235" s="129"/>
      <c r="L1235" s="129"/>
      <c r="M1235" s="129"/>
      <c r="N1235" s="129"/>
      <c r="O1235" s="346"/>
      <c r="P1235" s="347"/>
    </row>
    <row r="1236" spans="1:33" ht="14.25">
      <c r="A1236" s="190"/>
      <c r="C1236" s="193" t="s">
        <v>525</v>
      </c>
      <c r="E1236" s="193"/>
      <c r="G1236" s="193"/>
      <c r="O1236" s="379"/>
    </row>
    <row r="1237" spans="1:33" ht="14.25" customHeight="1">
      <c r="A1237" s="186"/>
      <c r="B1237" s="191" t="s">
        <v>92</v>
      </c>
      <c r="C1237" s="200">
        <v>2</v>
      </c>
      <c r="D1237" s="261" t="s">
        <v>82</v>
      </c>
      <c r="E1237" s="187"/>
      <c r="F1237" s="129"/>
      <c r="G1237" s="187"/>
      <c r="H1237" s="129"/>
      <c r="I1237" s="129"/>
      <c r="J1237" s="129"/>
      <c r="K1237" s="129"/>
      <c r="L1237" s="129"/>
      <c r="M1237" s="129"/>
      <c r="N1237" s="129"/>
      <c r="O1237" s="346"/>
      <c r="P1237" s="347"/>
    </row>
    <row r="1238" spans="1:33" ht="14.25" customHeight="1">
      <c r="A1238" s="186"/>
      <c r="B1238" s="191"/>
      <c r="C1238" s="200"/>
      <c r="D1238" s="261"/>
      <c r="E1238" s="187"/>
      <c r="F1238" s="129"/>
      <c r="G1238" s="187"/>
      <c r="H1238" s="129"/>
      <c r="I1238" s="129"/>
      <c r="J1238" s="129"/>
      <c r="K1238" s="129"/>
      <c r="L1238" s="129"/>
      <c r="M1238" s="129"/>
      <c r="N1238" s="129"/>
      <c r="O1238" s="346"/>
      <c r="P1238" s="347"/>
    </row>
    <row r="1239" spans="1:33">
      <c r="A1239" s="245" t="s">
        <v>560</v>
      </c>
      <c r="B1239" s="553" t="s">
        <v>555</v>
      </c>
      <c r="C1239" s="550"/>
      <c r="D1239" s="550"/>
      <c r="E1239" s="550"/>
      <c r="F1239" s="550"/>
      <c r="G1239" s="550"/>
      <c r="H1239" s="550"/>
      <c r="I1239" s="550"/>
      <c r="J1239" s="550"/>
      <c r="K1239" s="550"/>
      <c r="L1239" s="550"/>
      <c r="M1239" s="550"/>
      <c r="N1239" s="550"/>
      <c r="O1239" s="252">
        <v>89513</v>
      </c>
      <c r="P1239" s="350"/>
      <c r="Q1239" s="129"/>
      <c r="R1239" s="129"/>
      <c r="S1239" s="129"/>
      <c r="T1239" s="129"/>
      <c r="U1239" s="129"/>
      <c r="V1239" s="129"/>
      <c r="W1239" s="129"/>
      <c r="X1239" s="129"/>
      <c r="Y1239" s="129"/>
      <c r="Z1239" s="129"/>
      <c r="AA1239" s="129"/>
      <c r="AB1239" s="129"/>
      <c r="AC1239" s="129"/>
      <c r="AD1239" s="129"/>
      <c r="AE1239" s="129"/>
      <c r="AF1239" s="129"/>
      <c r="AG1239" s="129"/>
    </row>
    <row r="1240" spans="1:33" ht="14.25">
      <c r="A1240" s="186"/>
      <c r="B1240" s="129"/>
      <c r="C1240" s="187"/>
      <c r="D1240" s="129"/>
      <c r="E1240" s="187"/>
      <c r="F1240" s="129"/>
      <c r="G1240" s="187"/>
      <c r="H1240" s="129"/>
      <c r="I1240" s="129"/>
      <c r="J1240" s="129"/>
      <c r="K1240" s="129"/>
      <c r="L1240" s="129"/>
      <c r="M1240" s="129"/>
      <c r="N1240" s="129"/>
      <c r="O1240" s="346"/>
      <c r="P1240" s="347"/>
    </row>
    <row r="1241" spans="1:33" ht="14.25">
      <c r="A1241" s="190"/>
      <c r="C1241" s="193" t="s">
        <v>525</v>
      </c>
      <c r="E1241" s="193"/>
      <c r="G1241" s="193"/>
      <c r="O1241" s="379"/>
    </row>
    <row r="1242" spans="1:33" ht="14.25" customHeight="1">
      <c r="A1242" s="186"/>
      <c r="B1242" s="191" t="s">
        <v>92</v>
      </c>
      <c r="C1242" s="200">
        <v>6</v>
      </c>
      <c r="D1242" s="261" t="s">
        <v>82</v>
      </c>
      <c r="E1242" s="187"/>
      <c r="F1242" s="129"/>
      <c r="G1242" s="187"/>
      <c r="H1242" s="129"/>
      <c r="I1242" s="129"/>
      <c r="J1242" s="129"/>
      <c r="K1242" s="129"/>
      <c r="L1242" s="129"/>
      <c r="M1242" s="129"/>
      <c r="N1242" s="129"/>
      <c r="O1242" s="346"/>
      <c r="P1242" s="347"/>
    </row>
    <row r="1243" spans="1:33" ht="14.25" customHeight="1">
      <c r="A1243" s="186"/>
      <c r="B1243" s="191"/>
      <c r="C1243" s="200"/>
      <c r="D1243" s="261"/>
      <c r="E1243" s="187"/>
      <c r="F1243" s="129"/>
      <c r="G1243" s="187"/>
      <c r="H1243" s="129"/>
      <c r="I1243" s="129"/>
      <c r="J1243" s="129"/>
      <c r="K1243" s="129"/>
      <c r="L1243" s="129"/>
      <c r="M1243" s="129"/>
      <c r="N1243" s="129"/>
      <c r="O1243" s="346"/>
      <c r="P1243" s="347"/>
    </row>
    <row r="1244" spans="1:33">
      <c r="A1244" s="245" t="s">
        <v>562</v>
      </c>
      <c r="B1244" s="553" t="s">
        <v>557</v>
      </c>
      <c r="C1244" s="550"/>
      <c r="D1244" s="550"/>
      <c r="E1244" s="550"/>
      <c r="F1244" s="550"/>
      <c r="G1244" s="550"/>
      <c r="H1244" s="550"/>
      <c r="I1244" s="550"/>
      <c r="J1244" s="550"/>
      <c r="K1244" s="550"/>
      <c r="L1244" s="550"/>
      <c r="M1244" s="550"/>
      <c r="N1244" s="550"/>
      <c r="O1244" s="252">
        <v>89366</v>
      </c>
      <c r="P1244" s="350"/>
      <c r="Q1244" s="129"/>
      <c r="R1244" s="129"/>
      <c r="S1244" s="129"/>
      <c r="T1244" s="129"/>
      <c r="U1244" s="129"/>
      <c r="V1244" s="129"/>
      <c r="W1244" s="129"/>
      <c r="X1244" s="129"/>
      <c r="Y1244" s="129"/>
      <c r="Z1244" s="129"/>
      <c r="AA1244" s="129"/>
      <c r="AB1244" s="129"/>
      <c r="AC1244" s="129"/>
      <c r="AD1244" s="129"/>
      <c r="AE1244" s="129"/>
      <c r="AF1244" s="129"/>
      <c r="AG1244" s="129"/>
    </row>
    <row r="1245" spans="1:33" ht="14.25">
      <c r="A1245" s="186"/>
      <c r="B1245" s="129"/>
      <c r="C1245" s="187"/>
      <c r="D1245" s="129"/>
      <c r="E1245" s="187"/>
      <c r="F1245" s="129"/>
      <c r="G1245" s="187"/>
      <c r="H1245" s="129"/>
      <c r="I1245" s="129"/>
      <c r="J1245" s="129"/>
      <c r="K1245" s="129"/>
      <c r="L1245" s="129"/>
      <c r="M1245" s="129"/>
      <c r="N1245" s="129"/>
      <c r="O1245" s="346"/>
      <c r="P1245" s="347"/>
    </row>
    <row r="1246" spans="1:33" ht="14.25">
      <c r="A1246" s="190"/>
      <c r="C1246" s="193" t="s">
        <v>525</v>
      </c>
      <c r="E1246" s="193"/>
      <c r="G1246" s="193"/>
      <c r="O1246" s="379"/>
    </row>
    <row r="1247" spans="1:33" ht="14.25" customHeight="1">
      <c r="A1247" s="186"/>
      <c r="B1247" s="191" t="s">
        <v>92</v>
      </c>
      <c r="C1247" s="200">
        <v>70</v>
      </c>
      <c r="D1247" s="261" t="s">
        <v>82</v>
      </c>
      <c r="E1247" s="187"/>
      <c r="F1247" s="129"/>
      <c r="G1247" s="187"/>
      <c r="H1247" s="129"/>
      <c r="I1247" s="129"/>
      <c r="J1247" s="129"/>
      <c r="K1247" s="129"/>
      <c r="L1247" s="129"/>
      <c r="M1247" s="129"/>
      <c r="N1247" s="129"/>
      <c r="O1247" s="346"/>
      <c r="P1247" s="347"/>
    </row>
    <row r="1248" spans="1:33" ht="14.25" customHeight="1">
      <c r="A1248" s="186"/>
      <c r="B1248" s="191"/>
      <c r="C1248" s="200"/>
      <c r="D1248" s="261"/>
      <c r="E1248" s="187"/>
      <c r="F1248" s="129"/>
      <c r="G1248" s="187"/>
      <c r="H1248" s="129"/>
      <c r="I1248" s="129"/>
      <c r="J1248" s="129"/>
      <c r="K1248" s="129"/>
      <c r="L1248" s="129"/>
      <c r="M1248" s="129"/>
      <c r="N1248" s="129"/>
      <c r="O1248" s="346"/>
      <c r="P1248" s="347"/>
    </row>
    <row r="1249" spans="1:33">
      <c r="A1249" s="245" t="s">
        <v>564</v>
      </c>
      <c r="B1249" s="553" t="s">
        <v>559</v>
      </c>
      <c r="C1249" s="550"/>
      <c r="D1249" s="550"/>
      <c r="E1249" s="550"/>
      <c r="F1249" s="550"/>
      <c r="G1249" s="550"/>
      <c r="H1249" s="550"/>
      <c r="I1249" s="550"/>
      <c r="J1249" s="550"/>
      <c r="K1249" s="550"/>
      <c r="L1249" s="550"/>
      <c r="M1249" s="550"/>
      <c r="N1249" s="550"/>
      <c r="O1249" s="252">
        <v>89381</v>
      </c>
      <c r="P1249" s="350"/>
      <c r="Q1249" s="129"/>
      <c r="R1249" s="129"/>
      <c r="S1249" s="129"/>
      <c r="T1249" s="129"/>
      <c r="U1249" s="129"/>
      <c r="V1249" s="129"/>
      <c r="W1249" s="129"/>
      <c r="X1249" s="129"/>
      <c r="Y1249" s="129"/>
      <c r="Z1249" s="129"/>
      <c r="AA1249" s="129"/>
      <c r="AB1249" s="129"/>
      <c r="AC1249" s="129"/>
      <c r="AD1249" s="129"/>
      <c r="AE1249" s="129"/>
      <c r="AF1249" s="129"/>
      <c r="AG1249" s="129"/>
    </row>
    <row r="1250" spans="1:33" ht="14.25">
      <c r="A1250" s="186"/>
      <c r="B1250" s="129"/>
      <c r="C1250" s="187"/>
      <c r="D1250" s="129"/>
      <c r="E1250" s="187"/>
      <c r="F1250" s="129"/>
      <c r="G1250" s="187"/>
      <c r="H1250" s="129"/>
      <c r="I1250" s="129"/>
      <c r="J1250" s="129"/>
      <c r="K1250" s="129"/>
      <c r="L1250" s="129"/>
      <c r="M1250" s="129"/>
      <c r="N1250" s="129"/>
      <c r="O1250" s="346"/>
      <c r="P1250" s="347"/>
    </row>
    <row r="1251" spans="1:33" ht="14.25">
      <c r="A1251" s="190"/>
      <c r="C1251" s="193" t="s">
        <v>525</v>
      </c>
      <c r="E1251" s="193"/>
      <c r="G1251" s="193"/>
      <c r="O1251" s="379"/>
    </row>
    <row r="1252" spans="1:33" ht="14.25" customHeight="1">
      <c r="A1252" s="186"/>
      <c r="B1252" s="191" t="s">
        <v>92</v>
      </c>
      <c r="C1252" s="200">
        <v>9</v>
      </c>
      <c r="D1252" s="261" t="s">
        <v>82</v>
      </c>
      <c r="E1252" s="187"/>
      <c r="F1252" s="129"/>
      <c r="G1252" s="187"/>
      <c r="H1252" s="129"/>
      <c r="I1252" s="129"/>
      <c r="J1252" s="129"/>
      <c r="K1252" s="129"/>
      <c r="L1252" s="129"/>
      <c r="M1252" s="129"/>
      <c r="N1252" s="129"/>
      <c r="O1252" s="346"/>
      <c r="P1252" s="347"/>
    </row>
    <row r="1253" spans="1:33" ht="14.25" customHeight="1">
      <c r="A1253" s="186"/>
      <c r="B1253" s="191"/>
      <c r="C1253" s="200"/>
      <c r="D1253" s="261"/>
      <c r="E1253" s="187"/>
      <c r="F1253" s="129"/>
      <c r="G1253" s="187"/>
      <c r="H1253" s="129"/>
      <c r="I1253" s="129"/>
      <c r="J1253" s="129"/>
      <c r="K1253" s="129"/>
      <c r="L1253" s="129"/>
      <c r="M1253" s="129"/>
      <c r="N1253" s="129"/>
      <c r="O1253" s="346"/>
      <c r="P1253" s="347"/>
    </row>
    <row r="1254" spans="1:33">
      <c r="A1254" s="245" t="s">
        <v>566</v>
      </c>
      <c r="B1254" s="553" t="s">
        <v>561</v>
      </c>
      <c r="C1254" s="550"/>
      <c r="D1254" s="550"/>
      <c r="E1254" s="550"/>
      <c r="F1254" s="550"/>
      <c r="G1254" s="550"/>
      <c r="H1254" s="550"/>
      <c r="I1254" s="550"/>
      <c r="J1254" s="550"/>
      <c r="K1254" s="550"/>
      <c r="L1254" s="550"/>
      <c r="M1254" s="550"/>
      <c r="N1254" s="550"/>
      <c r="O1254" s="252">
        <v>89385</v>
      </c>
      <c r="P1254" s="350"/>
      <c r="Q1254" s="129"/>
      <c r="R1254" s="129"/>
      <c r="S1254" s="129"/>
      <c r="T1254" s="129"/>
      <c r="U1254" s="129"/>
      <c r="V1254" s="129"/>
      <c r="W1254" s="129"/>
      <c r="X1254" s="129"/>
      <c r="Y1254" s="129"/>
      <c r="Z1254" s="129"/>
      <c r="AA1254" s="129"/>
      <c r="AB1254" s="129"/>
      <c r="AC1254" s="129"/>
      <c r="AD1254" s="129"/>
      <c r="AE1254" s="129"/>
      <c r="AF1254" s="129"/>
      <c r="AG1254" s="129"/>
    </row>
    <row r="1255" spans="1:33" ht="14.25">
      <c r="A1255" s="186"/>
      <c r="B1255" s="129"/>
      <c r="C1255" s="187"/>
      <c r="D1255" s="129"/>
      <c r="E1255" s="187"/>
      <c r="F1255" s="129"/>
      <c r="G1255" s="187"/>
      <c r="H1255" s="129"/>
      <c r="I1255" s="129"/>
      <c r="J1255" s="129"/>
      <c r="K1255" s="129"/>
      <c r="L1255" s="129"/>
      <c r="M1255" s="129"/>
      <c r="N1255" s="129"/>
      <c r="O1255" s="346"/>
      <c r="P1255" s="347"/>
    </row>
    <row r="1256" spans="1:33" ht="14.25">
      <c r="A1256" s="190"/>
      <c r="C1256" s="193" t="s">
        <v>525</v>
      </c>
      <c r="E1256" s="193"/>
      <c r="G1256" s="193"/>
      <c r="O1256" s="379"/>
    </row>
    <row r="1257" spans="1:33" ht="14.25" customHeight="1">
      <c r="A1257" s="186"/>
      <c r="B1257" s="191" t="s">
        <v>92</v>
      </c>
      <c r="C1257" s="200">
        <v>2</v>
      </c>
      <c r="D1257" s="261" t="s">
        <v>82</v>
      </c>
      <c r="E1257" s="187"/>
      <c r="F1257" s="129"/>
      <c r="G1257" s="187"/>
      <c r="H1257" s="129"/>
      <c r="I1257" s="129"/>
      <c r="J1257" s="129"/>
      <c r="K1257" s="129"/>
      <c r="L1257" s="129"/>
      <c r="M1257" s="129"/>
      <c r="N1257" s="129"/>
      <c r="O1257" s="346"/>
      <c r="P1257" s="347"/>
    </row>
    <row r="1258" spans="1:33" ht="14.25" customHeight="1">
      <c r="A1258" s="186"/>
      <c r="B1258" s="191"/>
      <c r="C1258" s="200"/>
      <c r="D1258" s="261"/>
      <c r="E1258" s="187"/>
      <c r="F1258" s="129"/>
      <c r="G1258" s="187"/>
      <c r="H1258" s="129"/>
      <c r="I1258" s="129"/>
      <c r="J1258" s="129"/>
      <c r="K1258" s="129"/>
      <c r="L1258" s="129"/>
      <c r="M1258" s="129"/>
      <c r="N1258" s="129"/>
      <c r="O1258" s="346"/>
      <c r="P1258" s="347"/>
    </row>
    <row r="1259" spans="1:33">
      <c r="A1259" s="245" t="s">
        <v>567</v>
      </c>
      <c r="B1259" s="553" t="s">
        <v>563</v>
      </c>
      <c r="C1259" s="550"/>
      <c r="D1259" s="550"/>
      <c r="E1259" s="550"/>
      <c r="F1259" s="550"/>
      <c r="G1259" s="550"/>
      <c r="H1259" s="550"/>
      <c r="I1259" s="550"/>
      <c r="J1259" s="550"/>
      <c r="K1259" s="550"/>
      <c r="L1259" s="550"/>
      <c r="M1259" s="550"/>
      <c r="N1259" s="550"/>
      <c r="O1259" s="252">
        <v>89536</v>
      </c>
      <c r="P1259" s="350"/>
      <c r="Q1259" s="129"/>
      <c r="R1259" s="129"/>
      <c r="S1259" s="129"/>
      <c r="T1259" s="129"/>
      <c r="U1259" s="129"/>
      <c r="V1259" s="129"/>
      <c r="W1259" s="129"/>
      <c r="X1259" s="129"/>
      <c r="Y1259" s="129"/>
      <c r="Z1259" s="129"/>
      <c r="AA1259" s="129"/>
      <c r="AB1259" s="129"/>
      <c r="AC1259" s="129"/>
      <c r="AD1259" s="129"/>
      <c r="AE1259" s="129"/>
      <c r="AF1259" s="129"/>
      <c r="AG1259" s="129"/>
    </row>
    <row r="1260" spans="1:33" ht="14.25">
      <c r="A1260" s="186"/>
      <c r="B1260" s="129"/>
      <c r="C1260" s="187"/>
      <c r="D1260" s="129"/>
      <c r="E1260" s="187"/>
      <c r="F1260" s="129"/>
      <c r="G1260" s="187"/>
      <c r="H1260" s="129"/>
      <c r="I1260" s="129"/>
      <c r="J1260" s="129"/>
      <c r="K1260" s="129"/>
      <c r="L1260" s="129"/>
      <c r="M1260" s="129"/>
      <c r="N1260" s="129"/>
      <c r="O1260" s="346"/>
      <c r="P1260" s="347"/>
    </row>
    <row r="1261" spans="1:33" ht="14.25">
      <c r="A1261" s="190"/>
      <c r="C1261" s="193" t="s">
        <v>525</v>
      </c>
      <c r="E1261" s="193"/>
      <c r="G1261" s="193"/>
      <c r="O1261" s="379"/>
    </row>
    <row r="1262" spans="1:33" ht="14.25" customHeight="1">
      <c r="A1262" s="186"/>
      <c r="B1262" s="191" t="s">
        <v>92</v>
      </c>
      <c r="C1262" s="200">
        <v>1</v>
      </c>
      <c r="D1262" s="261" t="s">
        <v>82</v>
      </c>
      <c r="E1262" s="187"/>
      <c r="F1262" s="129"/>
      <c r="G1262" s="187"/>
      <c r="H1262" s="129"/>
      <c r="I1262" s="129"/>
      <c r="J1262" s="129"/>
      <c r="K1262" s="129"/>
      <c r="L1262" s="129"/>
      <c r="M1262" s="129"/>
      <c r="N1262" s="129"/>
      <c r="O1262" s="346"/>
      <c r="P1262" s="347"/>
    </row>
    <row r="1263" spans="1:33" ht="14.25" customHeight="1">
      <c r="A1263" s="190"/>
      <c r="C1263" s="193"/>
      <c r="E1263" s="193"/>
      <c r="G1263" s="193"/>
      <c r="O1263" s="339"/>
      <c r="Q1263" s="129"/>
      <c r="R1263" s="129"/>
      <c r="S1263" s="129"/>
      <c r="T1263" s="129"/>
      <c r="U1263" s="129"/>
      <c r="V1263" s="129"/>
      <c r="W1263" s="129"/>
      <c r="X1263" s="129"/>
      <c r="Y1263" s="129"/>
      <c r="Z1263" s="129"/>
      <c r="AA1263" s="129"/>
      <c r="AB1263" s="129"/>
      <c r="AC1263" s="129"/>
      <c r="AD1263" s="129"/>
      <c r="AE1263" s="129"/>
      <c r="AF1263" s="129"/>
      <c r="AG1263" s="129"/>
    </row>
    <row r="1264" spans="1:33">
      <c r="A1264" s="245" t="s">
        <v>569</v>
      </c>
      <c r="B1264" s="544" t="s">
        <v>565</v>
      </c>
      <c r="C1264" s="545"/>
      <c r="D1264" s="545"/>
      <c r="E1264" s="545"/>
      <c r="F1264" s="545"/>
      <c r="G1264" s="545"/>
      <c r="H1264" s="545"/>
      <c r="I1264" s="545"/>
      <c r="J1264" s="545"/>
      <c r="K1264" s="545"/>
      <c r="L1264" s="545"/>
      <c r="M1264" s="545"/>
      <c r="N1264" s="545"/>
      <c r="O1264" s="252" t="s">
        <v>1108</v>
      </c>
      <c r="P1264" s="350" t="s">
        <v>74</v>
      </c>
      <c r="Q1264" s="129"/>
      <c r="R1264" s="129"/>
      <c r="S1264" s="129"/>
      <c r="T1264" s="129"/>
      <c r="U1264" s="129"/>
      <c r="V1264" s="129"/>
      <c r="W1264" s="129"/>
      <c r="X1264" s="129"/>
      <c r="Y1264" s="129"/>
      <c r="Z1264" s="129"/>
      <c r="AA1264" s="129"/>
      <c r="AB1264" s="129"/>
      <c r="AC1264" s="129"/>
      <c r="AD1264" s="129"/>
      <c r="AE1264" s="129"/>
      <c r="AF1264" s="129"/>
      <c r="AG1264" s="129"/>
    </row>
    <row r="1265" spans="1:33" ht="14.25">
      <c r="A1265" s="186"/>
      <c r="B1265" s="129"/>
      <c r="C1265" s="187"/>
      <c r="D1265" s="129"/>
      <c r="E1265" s="187"/>
      <c r="F1265" s="129"/>
      <c r="G1265" s="187"/>
      <c r="H1265" s="129"/>
      <c r="I1265" s="129"/>
      <c r="J1265" s="129"/>
      <c r="K1265" s="129"/>
      <c r="L1265" s="129"/>
      <c r="M1265" s="129"/>
      <c r="N1265" s="129"/>
      <c r="O1265" s="346"/>
      <c r="P1265" s="347"/>
    </row>
    <row r="1266" spans="1:33" ht="14.25">
      <c r="A1266" s="190"/>
      <c r="C1266" s="193" t="s">
        <v>525</v>
      </c>
      <c r="E1266" s="193"/>
      <c r="F1266" s="193"/>
      <c r="O1266" s="379"/>
    </row>
    <row r="1267" spans="1:33" ht="14.25" customHeight="1">
      <c r="A1267" s="186"/>
      <c r="B1267" s="191" t="s">
        <v>92</v>
      </c>
      <c r="C1267" s="200">
        <v>2</v>
      </c>
      <c r="D1267" s="261" t="s">
        <v>82</v>
      </c>
      <c r="E1267" s="187"/>
      <c r="F1267" s="129"/>
      <c r="G1267" s="187"/>
      <c r="H1267" s="129"/>
      <c r="I1267" s="129"/>
      <c r="J1267" s="129"/>
      <c r="K1267" s="129"/>
      <c r="L1267" s="129"/>
      <c r="M1267" s="129"/>
      <c r="N1267" s="129"/>
      <c r="O1267" s="346"/>
      <c r="P1267" s="347"/>
    </row>
    <row r="1268" spans="1:33" ht="14.25" customHeight="1">
      <c r="A1268" s="190"/>
      <c r="C1268" s="193"/>
      <c r="E1268" s="193"/>
      <c r="G1268" s="193"/>
      <c r="O1268" s="339"/>
      <c r="Q1268" s="129"/>
      <c r="R1268" s="129"/>
      <c r="S1268" s="129"/>
      <c r="T1268" s="129"/>
      <c r="U1268" s="129"/>
      <c r="V1268" s="129"/>
      <c r="W1268" s="129"/>
      <c r="X1268" s="129"/>
      <c r="Y1268" s="129"/>
      <c r="Z1268" s="129"/>
      <c r="AA1268" s="129"/>
      <c r="AB1268" s="129"/>
      <c r="AC1268" s="129"/>
      <c r="AD1268" s="129"/>
      <c r="AE1268" s="129"/>
      <c r="AF1268" s="129"/>
      <c r="AG1268" s="129"/>
    </row>
    <row r="1269" spans="1:33">
      <c r="A1269" s="245" t="s">
        <v>571</v>
      </c>
      <c r="B1269" s="544" t="s">
        <v>1107</v>
      </c>
      <c r="C1269" s="545"/>
      <c r="D1269" s="545"/>
      <c r="E1269" s="545"/>
      <c r="F1269" s="545"/>
      <c r="G1269" s="545"/>
      <c r="H1269" s="545"/>
      <c r="I1269" s="545"/>
      <c r="J1269" s="545"/>
      <c r="K1269" s="545"/>
      <c r="L1269" s="545"/>
      <c r="M1269" s="545"/>
      <c r="N1269" s="545"/>
      <c r="O1269" s="252">
        <v>92892</v>
      </c>
      <c r="P1269" s="350"/>
      <c r="Q1269" s="129"/>
      <c r="R1269" s="129"/>
      <c r="S1269" s="129"/>
      <c r="T1269" s="129"/>
      <c r="U1269" s="129"/>
      <c r="V1269" s="129"/>
      <c r="W1269" s="129"/>
      <c r="X1269" s="129"/>
      <c r="Y1269" s="129"/>
      <c r="Z1269" s="129"/>
      <c r="AA1269" s="129"/>
      <c r="AB1269" s="129"/>
      <c r="AC1269" s="129"/>
      <c r="AD1269" s="129"/>
      <c r="AE1269" s="129"/>
      <c r="AF1269" s="129"/>
      <c r="AG1269" s="129"/>
    </row>
    <row r="1270" spans="1:33" ht="14.25">
      <c r="A1270" s="186"/>
      <c r="B1270" s="129"/>
      <c r="C1270" s="187"/>
      <c r="D1270" s="129"/>
      <c r="E1270" s="187"/>
      <c r="F1270" s="129"/>
      <c r="G1270" s="187"/>
      <c r="H1270" s="129"/>
      <c r="I1270" s="129"/>
      <c r="J1270" s="129"/>
      <c r="K1270" s="129"/>
      <c r="L1270" s="129"/>
      <c r="M1270" s="129"/>
      <c r="N1270" s="129"/>
      <c r="O1270" s="346"/>
      <c r="P1270" s="347"/>
    </row>
    <row r="1271" spans="1:33" ht="14.25">
      <c r="A1271" s="190"/>
      <c r="C1271" s="193" t="s">
        <v>525</v>
      </c>
      <c r="E1271" s="193"/>
      <c r="F1271" s="193"/>
      <c r="O1271" s="379"/>
    </row>
    <row r="1272" spans="1:33" ht="14.25" customHeight="1">
      <c r="A1272" s="186"/>
      <c r="B1272" s="191" t="s">
        <v>92</v>
      </c>
      <c r="C1272" s="200">
        <v>2</v>
      </c>
      <c r="D1272" s="261" t="s">
        <v>82</v>
      </c>
      <c r="E1272" s="187"/>
      <c r="F1272" s="129"/>
      <c r="G1272" s="187"/>
      <c r="H1272" s="129"/>
      <c r="I1272" s="129"/>
      <c r="J1272" s="129"/>
      <c r="K1272" s="129"/>
      <c r="L1272" s="129"/>
      <c r="M1272" s="129"/>
      <c r="N1272" s="129"/>
      <c r="O1272" s="346"/>
      <c r="P1272" s="347"/>
    </row>
    <row r="1273" spans="1:33" ht="14.25" customHeight="1">
      <c r="A1273" s="190"/>
      <c r="C1273" s="193"/>
      <c r="E1273" s="193"/>
      <c r="G1273" s="193"/>
      <c r="O1273" s="339"/>
      <c r="Q1273" s="129"/>
      <c r="R1273" s="129"/>
      <c r="S1273" s="129"/>
      <c r="T1273" s="129"/>
      <c r="U1273" s="129"/>
      <c r="V1273" s="129"/>
      <c r="W1273" s="129"/>
      <c r="X1273" s="129"/>
      <c r="Y1273" s="129"/>
      <c r="Z1273" s="129"/>
      <c r="AA1273" s="129"/>
      <c r="AB1273" s="129"/>
      <c r="AC1273" s="129"/>
      <c r="AD1273" s="129"/>
      <c r="AE1273" s="129"/>
      <c r="AF1273" s="129"/>
      <c r="AG1273" s="129"/>
    </row>
    <row r="1274" spans="1:33">
      <c r="A1274" s="247" t="s">
        <v>573</v>
      </c>
      <c r="B1274" s="548" t="s">
        <v>568</v>
      </c>
      <c r="C1274" s="548"/>
      <c r="D1274" s="548"/>
      <c r="E1274" s="548"/>
      <c r="F1274" s="548"/>
      <c r="G1274" s="548"/>
      <c r="H1274" s="548"/>
      <c r="I1274" s="548"/>
      <c r="J1274" s="548"/>
      <c r="K1274" s="548"/>
      <c r="L1274" s="548"/>
      <c r="M1274" s="548"/>
      <c r="N1274" s="548"/>
      <c r="O1274" s="378">
        <v>89383</v>
      </c>
      <c r="P1274" s="361"/>
    </row>
    <row r="1275" spans="1:33">
      <c r="A1275" s="202"/>
      <c r="B1275" s="249"/>
      <c r="C1275" s="249"/>
      <c r="D1275" s="249"/>
      <c r="E1275" s="249"/>
      <c r="F1275" s="249"/>
      <c r="G1275" s="249"/>
      <c r="H1275" s="249"/>
      <c r="I1275" s="249"/>
      <c r="J1275" s="249"/>
      <c r="K1275" s="249"/>
      <c r="L1275" s="249"/>
      <c r="M1275" s="249"/>
      <c r="N1275" s="249"/>
      <c r="O1275" s="378"/>
      <c r="P1275" s="361"/>
    </row>
    <row r="1276" spans="1:33" ht="14.25">
      <c r="A1276" s="190"/>
      <c r="C1276" s="193" t="s">
        <v>525</v>
      </c>
      <c r="E1276" s="193"/>
      <c r="G1276" s="193"/>
      <c r="O1276" s="379"/>
    </row>
    <row r="1277" spans="1:33">
      <c r="A1277" s="190"/>
      <c r="B1277" s="191" t="s">
        <v>92</v>
      </c>
      <c r="C1277" s="192">
        <v>2</v>
      </c>
      <c r="D1277" s="191" t="s">
        <v>82</v>
      </c>
      <c r="E1277" s="193"/>
      <c r="G1277" s="193"/>
      <c r="O1277" s="379"/>
    </row>
    <row r="1278" spans="1:33" ht="15" customHeight="1">
      <c r="A1278" s="190"/>
      <c r="C1278" s="193"/>
      <c r="E1278" s="193"/>
      <c r="G1278" s="193"/>
      <c r="O1278" s="379"/>
    </row>
    <row r="1279" spans="1:33">
      <c r="A1279" s="247" t="s">
        <v>575</v>
      </c>
      <c r="B1279" s="548" t="s">
        <v>570</v>
      </c>
      <c r="C1279" s="548"/>
      <c r="D1279" s="548"/>
      <c r="E1279" s="548"/>
      <c r="F1279" s="548"/>
      <c r="G1279" s="548"/>
      <c r="H1279" s="548"/>
      <c r="I1279" s="548"/>
      <c r="J1279" s="548"/>
      <c r="K1279" s="548"/>
      <c r="L1279" s="548"/>
      <c r="M1279" s="548"/>
      <c r="N1279" s="548"/>
      <c r="O1279" s="378">
        <v>89391</v>
      </c>
      <c r="P1279" s="361"/>
    </row>
    <row r="1280" spans="1:33">
      <c r="A1280" s="202"/>
      <c r="B1280" s="249"/>
      <c r="C1280" s="249"/>
      <c r="D1280" s="249"/>
      <c r="E1280" s="249"/>
      <c r="F1280" s="249"/>
      <c r="G1280" s="249"/>
      <c r="H1280" s="249"/>
      <c r="I1280" s="249"/>
      <c r="J1280" s="249"/>
      <c r="K1280" s="249"/>
      <c r="L1280" s="249"/>
      <c r="M1280" s="249"/>
      <c r="N1280" s="249"/>
      <c r="O1280" s="378"/>
      <c r="P1280" s="361"/>
    </row>
    <row r="1281" spans="1:33" ht="14.25">
      <c r="A1281" s="190"/>
      <c r="C1281" s="193" t="s">
        <v>525</v>
      </c>
      <c r="E1281" s="193"/>
      <c r="G1281" s="193"/>
      <c r="O1281" s="379"/>
    </row>
    <row r="1282" spans="1:33">
      <c r="A1282" s="190"/>
      <c r="B1282" s="191" t="s">
        <v>92</v>
      </c>
      <c r="C1282" s="192">
        <v>20</v>
      </c>
      <c r="D1282" s="191" t="s">
        <v>82</v>
      </c>
      <c r="E1282" s="193"/>
      <c r="G1282" s="193"/>
      <c r="O1282" s="379"/>
    </row>
    <row r="1283" spans="1:33" ht="15" customHeight="1">
      <c r="A1283" s="190"/>
      <c r="C1283" s="193"/>
      <c r="E1283" s="193"/>
      <c r="G1283" s="193"/>
      <c r="O1283" s="379"/>
    </row>
    <row r="1284" spans="1:33">
      <c r="A1284" s="245" t="s">
        <v>577</v>
      </c>
      <c r="B1284" s="544" t="s">
        <v>1287</v>
      </c>
      <c r="C1284" s="550"/>
      <c r="D1284" s="550"/>
      <c r="E1284" s="550"/>
      <c r="F1284" s="550"/>
      <c r="G1284" s="550"/>
      <c r="H1284" s="550"/>
      <c r="I1284" s="550"/>
      <c r="J1284" s="550"/>
      <c r="K1284" s="550"/>
      <c r="L1284" s="550"/>
      <c r="M1284" s="550"/>
      <c r="N1284" s="550"/>
      <c r="O1284" s="252">
        <v>94660</v>
      </c>
      <c r="P1284" s="350"/>
      <c r="Q1284" s="129"/>
      <c r="R1284" s="129"/>
      <c r="S1284" s="129"/>
      <c r="T1284" s="129"/>
      <c r="U1284" s="129"/>
      <c r="V1284" s="129"/>
      <c r="W1284" s="129"/>
      <c r="X1284" s="129"/>
      <c r="Y1284" s="129"/>
      <c r="Z1284" s="129"/>
      <c r="AA1284" s="129"/>
      <c r="AB1284" s="129"/>
      <c r="AC1284" s="129"/>
      <c r="AD1284" s="129"/>
      <c r="AE1284" s="129"/>
      <c r="AF1284" s="129"/>
      <c r="AG1284" s="129"/>
    </row>
    <row r="1285" spans="1:33" ht="14.25">
      <c r="A1285" s="186"/>
      <c r="B1285" s="129"/>
      <c r="C1285" s="187"/>
      <c r="D1285" s="129"/>
      <c r="E1285" s="187"/>
      <c r="F1285" s="129"/>
      <c r="G1285" s="187"/>
      <c r="H1285" s="129"/>
      <c r="I1285" s="129"/>
      <c r="J1285" s="129"/>
      <c r="K1285" s="129"/>
      <c r="L1285" s="129"/>
      <c r="M1285" s="129"/>
      <c r="N1285" s="129"/>
      <c r="O1285" s="346"/>
      <c r="P1285" s="347"/>
    </row>
    <row r="1286" spans="1:33" ht="14.25">
      <c r="A1286" s="190"/>
      <c r="C1286" s="193" t="s">
        <v>525</v>
      </c>
      <c r="E1286" s="193"/>
      <c r="G1286" s="193"/>
      <c r="O1286" s="379"/>
    </row>
    <row r="1287" spans="1:33" ht="14.25" customHeight="1">
      <c r="A1287" s="186"/>
      <c r="B1287" s="191" t="s">
        <v>92</v>
      </c>
      <c r="C1287" s="200">
        <v>8</v>
      </c>
      <c r="D1287" s="261" t="s">
        <v>82</v>
      </c>
      <c r="E1287" s="187"/>
      <c r="F1287" s="129"/>
      <c r="G1287" s="187"/>
      <c r="H1287" s="129"/>
      <c r="I1287" s="129"/>
      <c r="J1287" s="129"/>
      <c r="K1287" s="129"/>
      <c r="L1287" s="129"/>
      <c r="M1287" s="129"/>
      <c r="N1287" s="129"/>
      <c r="O1287" s="346"/>
      <c r="P1287" s="347"/>
    </row>
    <row r="1288" spans="1:33" ht="14.25" customHeight="1">
      <c r="A1288" s="190"/>
      <c r="C1288" s="193"/>
      <c r="D1288" s="193"/>
      <c r="G1288" s="193"/>
      <c r="O1288" s="339"/>
      <c r="Q1288" s="129"/>
      <c r="R1288" s="129"/>
      <c r="S1288" s="129"/>
      <c r="T1288" s="129"/>
      <c r="U1288" s="129"/>
      <c r="V1288" s="129"/>
      <c r="W1288" s="129"/>
      <c r="X1288" s="129"/>
      <c r="Y1288" s="129"/>
      <c r="Z1288" s="129"/>
      <c r="AA1288" s="129"/>
      <c r="AB1288" s="129"/>
      <c r="AC1288" s="129"/>
      <c r="AD1288" s="129"/>
      <c r="AE1288" s="129"/>
      <c r="AF1288" s="129"/>
      <c r="AG1288" s="129"/>
    </row>
    <row r="1289" spans="1:33">
      <c r="A1289" s="245" t="s">
        <v>579</v>
      </c>
      <c r="B1289" s="544" t="s">
        <v>572</v>
      </c>
      <c r="C1289" s="550"/>
      <c r="D1289" s="550"/>
      <c r="E1289" s="550"/>
      <c r="F1289" s="550"/>
      <c r="G1289" s="550"/>
      <c r="H1289" s="550"/>
      <c r="I1289" s="550"/>
      <c r="J1289" s="550"/>
      <c r="K1289" s="550"/>
      <c r="L1289" s="550"/>
      <c r="M1289" s="550"/>
      <c r="N1289" s="550"/>
      <c r="O1289" s="252">
        <v>89596</v>
      </c>
      <c r="P1289" s="350"/>
      <c r="Q1289" s="129"/>
      <c r="R1289" s="129"/>
      <c r="S1289" s="129"/>
      <c r="T1289" s="129"/>
      <c r="U1289" s="129"/>
      <c r="V1289" s="129"/>
      <c r="W1289" s="129"/>
      <c r="X1289" s="129"/>
      <c r="Y1289" s="129"/>
      <c r="Z1289" s="129"/>
      <c r="AA1289" s="129"/>
      <c r="AB1289" s="129"/>
      <c r="AC1289" s="129"/>
      <c r="AD1289" s="129"/>
      <c r="AE1289" s="129"/>
      <c r="AF1289" s="129"/>
      <c r="AG1289" s="129"/>
    </row>
    <row r="1290" spans="1:33" ht="14.25">
      <c r="A1290" s="186"/>
      <c r="B1290" s="129"/>
      <c r="C1290" s="187"/>
      <c r="D1290" s="129"/>
      <c r="E1290" s="187"/>
      <c r="F1290" s="129"/>
      <c r="G1290" s="187"/>
      <c r="H1290" s="129"/>
      <c r="I1290" s="129"/>
      <c r="J1290" s="129"/>
      <c r="K1290" s="129"/>
      <c r="L1290" s="129"/>
      <c r="M1290" s="129"/>
      <c r="N1290" s="129"/>
      <c r="O1290" s="346"/>
      <c r="P1290" s="347"/>
    </row>
    <row r="1291" spans="1:33" ht="14.25">
      <c r="A1291" s="190"/>
      <c r="C1291" s="193" t="s">
        <v>525</v>
      </c>
      <c r="E1291" s="193"/>
      <c r="G1291" s="193"/>
      <c r="O1291" s="379"/>
    </row>
    <row r="1292" spans="1:33" ht="14.25" customHeight="1">
      <c r="A1292" s="186"/>
      <c r="B1292" s="191" t="s">
        <v>92</v>
      </c>
      <c r="C1292" s="200">
        <v>4</v>
      </c>
      <c r="D1292" s="261" t="s">
        <v>82</v>
      </c>
      <c r="E1292" s="187"/>
      <c r="F1292" s="129"/>
      <c r="G1292" s="187"/>
      <c r="H1292" s="129"/>
      <c r="I1292" s="129"/>
      <c r="J1292" s="129"/>
      <c r="K1292" s="129"/>
      <c r="L1292" s="129"/>
      <c r="M1292" s="129"/>
      <c r="N1292" s="129"/>
      <c r="O1292" s="346"/>
      <c r="P1292" s="347"/>
    </row>
    <row r="1293" spans="1:33" ht="14.25" customHeight="1">
      <c r="A1293" s="190"/>
      <c r="C1293" s="193"/>
      <c r="D1293" s="193"/>
      <c r="G1293" s="193"/>
      <c r="O1293" s="339"/>
      <c r="Q1293" s="129"/>
      <c r="R1293" s="129"/>
      <c r="S1293" s="129"/>
      <c r="T1293" s="129"/>
      <c r="U1293" s="129"/>
      <c r="V1293" s="129"/>
      <c r="W1293" s="129"/>
      <c r="X1293" s="129"/>
      <c r="Y1293" s="129"/>
      <c r="Z1293" s="129"/>
      <c r="AA1293" s="129"/>
      <c r="AB1293" s="129"/>
      <c r="AC1293" s="129"/>
      <c r="AD1293" s="129"/>
      <c r="AE1293" s="129"/>
      <c r="AF1293" s="129"/>
      <c r="AG1293" s="129"/>
    </row>
    <row r="1294" spans="1:33">
      <c r="A1294" s="245" t="s">
        <v>581</v>
      </c>
      <c r="B1294" s="544" t="s">
        <v>574</v>
      </c>
      <c r="C1294" s="550"/>
      <c r="D1294" s="550"/>
      <c r="E1294" s="550"/>
      <c r="F1294" s="550"/>
      <c r="G1294" s="550"/>
      <c r="H1294" s="550"/>
      <c r="I1294" s="550"/>
      <c r="J1294" s="550"/>
      <c r="K1294" s="550"/>
      <c r="L1294" s="550"/>
      <c r="M1294" s="550"/>
      <c r="N1294" s="550"/>
      <c r="O1294" s="252">
        <v>103957</v>
      </c>
      <c r="P1294" s="350"/>
      <c r="Q1294" s="129"/>
      <c r="R1294" s="129"/>
      <c r="S1294" s="129"/>
      <c r="T1294" s="129"/>
      <c r="U1294" s="129"/>
      <c r="V1294" s="129"/>
      <c r="W1294" s="129"/>
      <c r="X1294" s="129"/>
      <c r="Y1294" s="129"/>
      <c r="Z1294" s="129"/>
      <c r="AA1294" s="129"/>
      <c r="AB1294" s="129"/>
      <c r="AC1294" s="129"/>
      <c r="AD1294" s="129"/>
      <c r="AE1294" s="129"/>
      <c r="AF1294" s="129"/>
      <c r="AG1294" s="129"/>
    </row>
    <row r="1295" spans="1:33" ht="14.25">
      <c r="A1295" s="186"/>
      <c r="B1295" s="129"/>
      <c r="C1295" s="187"/>
      <c r="D1295" s="129"/>
      <c r="E1295" s="187"/>
      <c r="F1295" s="129"/>
      <c r="G1295" s="187"/>
      <c r="H1295" s="129"/>
      <c r="I1295" s="129"/>
      <c r="J1295" s="129"/>
      <c r="K1295" s="129"/>
      <c r="L1295" s="129"/>
      <c r="M1295" s="129"/>
      <c r="N1295" s="129"/>
      <c r="O1295" s="346"/>
      <c r="P1295" s="347"/>
    </row>
    <row r="1296" spans="1:33" ht="14.25">
      <c r="A1296" s="190"/>
      <c r="C1296" s="193" t="s">
        <v>525</v>
      </c>
      <c r="E1296" s="193"/>
      <c r="G1296" s="193"/>
      <c r="O1296" s="379"/>
    </row>
    <row r="1297" spans="1:33" ht="14.25" customHeight="1">
      <c r="A1297" s="186"/>
      <c r="B1297" s="191" t="s">
        <v>92</v>
      </c>
      <c r="C1297" s="200">
        <v>19</v>
      </c>
      <c r="D1297" s="261" t="s">
        <v>82</v>
      </c>
      <c r="E1297" s="187"/>
      <c r="F1297" s="129"/>
      <c r="G1297" s="187"/>
      <c r="H1297" s="129"/>
      <c r="I1297" s="129"/>
      <c r="J1297" s="129"/>
      <c r="K1297" s="129"/>
      <c r="L1297" s="129"/>
      <c r="M1297" s="129"/>
      <c r="N1297" s="129"/>
      <c r="O1297" s="346"/>
      <c r="P1297" s="347"/>
    </row>
    <row r="1298" spans="1:33" ht="14.25" customHeight="1">
      <c r="A1298" s="190"/>
      <c r="C1298" s="193"/>
      <c r="E1298" s="193"/>
      <c r="G1298" s="193"/>
      <c r="O1298" s="339"/>
      <c r="Q1298" s="129"/>
      <c r="R1298" s="129"/>
      <c r="S1298" s="129"/>
      <c r="T1298" s="129"/>
      <c r="U1298" s="129"/>
      <c r="V1298" s="129"/>
      <c r="W1298" s="129"/>
      <c r="X1298" s="129"/>
      <c r="Y1298" s="129"/>
      <c r="Z1298" s="129"/>
      <c r="AA1298" s="129"/>
      <c r="AB1298" s="129"/>
      <c r="AC1298" s="129"/>
      <c r="AD1298" s="129"/>
      <c r="AE1298" s="129"/>
      <c r="AF1298" s="129"/>
      <c r="AG1298" s="129"/>
    </row>
    <row r="1299" spans="1:33">
      <c r="A1299" s="245" t="s">
        <v>582</v>
      </c>
      <c r="B1299" s="553" t="s">
        <v>576</v>
      </c>
      <c r="C1299" s="550"/>
      <c r="D1299" s="550"/>
      <c r="E1299" s="550"/>
      <c r="F1299" s="550"/>
      <c r="G1299" s="550"/>
      <c r="H1299" s="550"/>
      <c r="I1299" s="550"/>
      <c r="J1299" s="550"/>
      <c r="K1299" s="550"/>
      <c r="L1299" s="550"/>
      <c r="M1299" s="550"/>
      <c r="N1299" s="550"/>
      <c r="O1299" s="252">
        <v>103977</v>
      </c>
      <c r="P1299" s="350"/>
      <c r="Q1299" s="129"/>
      <c r="R1299" s="129"/>
      <c r="S1299" s="129"/>
      <c r="T1299" s="129"/>
      <c r="U1299" s="129"/>
      <c r="V1299" s="129"/>
      <c r="W1299" s="129"/>
      <c r="X1299" s="129"/>
      <c r="Y1299" s="129"/>
      <c r="Z1299" s="129"/>
      <c r="AA1299" s="129"/>
      <c r="AB1299" s="129"/>
      <c r="AC1299" s="129"/>
      <c r="AD1299" s="129"/>
      <c r="AE1299" s="129"/>
      <c r="AF1299" s="129"/>
      <c r="AG1299" s="129"/>
    </row>
    <row r="1300" spans="1:33" ht="14.25">
      <c r="A1300" s="186"/>
      <c r="B1300" s="129"/>
      <c r="C1300" s="187"/>
      <c r="D1300" s="129"/>
      <c r="E1300" s="187"/>
      <c r="F1300" s="129"/>
      <c r="G1300" s="187"/>
      <c r="H1300" s="129"/>
      <c r="I1300" s="129"/>
      <c r="J1300" s="129"/>
      <c r="K1300" s="129"/>
      <c r="L1300" s="129"/>
      <c r="M1300" s="129"/>
      <c r="N1300" s="129"/>
      <c r="O1300" s="346"/>
      <c r="P1300" s="347"/>
    </row>
    <row r="1301" spans="1:33" ht="14.25">
      <c r="A1301" s="190"/>
      <c r="C1301" s="193" t="s">
        <v>525</v>
      </c>
      <c r="E1301" s="193"/>
      <c r="G1301" s="193"/>
      <c r="O1301" s="379"/>
    </row>
    <row r="1302" spans="1:33" ht="14.25" customHeight="1">
      <c r="A1302" s="186"/>
      <c r="B1302" s="191" t="s">
        <v>92</v>
      </c>
      <c r="C1302" s="200">
        <v>11</v>
      </c>
      <c r="D1302" s="261" t="s">
        <v>82</v>
      </c>
      <c r="E1302" s="187"/>
      <c r="F1302" s="129"/>
      <c r="G1302" s="187"/>
      <c r="H1302" s="129"/>
      <c r="I1302" s="129"/>
      <c r="J1302" s="129"/>
      <c r="K1302" s="129"/>
      <c r="L1302" s="129"/>
      <c r="M1302" s="129"/>
      <c r="N1302" s="129"/>
      <c r="O1302" s="346"/>
      <c r="P1302" s="347"/>
    </row>
    <row r="1303" spans="1:33" ht="14.25" customHeight="1">
      <c r="A1303" s="190"/>
      <c r="C1303" s="193"/>
      <c r="E1303" s="193"/>
      <c r="G1303" s="193"/>
      <c r="O1303" s="339"/>
      <c r="Q1303" s="129"/>
      <c r="R1303" s="129"/>
      <c r="S1303" s="129"/>
      <c r="T1303" s="129"/>
      <c r="U1303" s="129"/>
      <c r="V1303" s="129"/>
      <c r="W1303" s="129"/>
      <c r="X1303" s="129"/>
      <c r="Y1303" s="129"/>
      <c r="Z1303" s="129"/>
      <c r="AA1303" s="129"/>
      <c r="AB1303" s="129"/>
      <c r="AC1303" s="129"/>
      <c r="AD1303" s="129"/>
      <c r="AE1303" s="129"/>
      <c r="AF1303" s="129"/>
      <c r="AG1303" s="129"/>
    </row>
    <row r="1304" spans="1:33">
      <c r="A1304" s="245" t="s">
        <v>584</v>
      </c>
      <c r="B1304" s="553" t="s">
        <v>578</v>
      </c>
      <c r="C1304" s="550"/>
      <c r="D1304" s="550"/>
      <c r="E1304" s="550"/>
      <c r="F1304" s="550"/>
      <c r="G1304" s="550"/>
      <c r="H1304" s="550"/>
      <c r="I1304" s="550"/>
      <c r="J1304" s="550"/>
      <c r="K1304" s="550"/>
      <c r="L1304" s="550"/>
      <c r="M1304" s="550"/>
      <c r="N1304" s="550"/>
      <c r="O1304" s="252">
        <v>103958</v>
      </c>
      <c r="P1304" s="350"/>
      <c r="Q1304" s="129"/>
      <c r="R1304" s="129"/>
      <c r="S1304" s="129"/>
      <c r="T1304" s="129"/>
      <c r="U1304" s="129"/>
      <c r="V1304" s="129"/>
      <c r="W1304" s="129"/>
      <c r="X1304" s="129"/>
      <c r="Y1304" s="129"/>
      <c r="Z1304" s="129"/>
      <c r="AA1304" s="129"/>
      <c r="AB1304" s="129"/>
      <c r="AC1304" s="129"/>
      <c r="AD1304" s="129"/>
      <c r="AE1304" s="129"/>
      <c r="AF1304" s="129"/>
      <c r="AG1304" s="129"/>
    </row>
    <row r="1305" spans="1:33" ht="14.25">
      <c r="A1305" s="186"/>
      <c r="B1305" s="129"/>
      <c r="C1305" s="187"/>
      <c r="D1305" s="129"/>
      <c r="E1305" s="187"/>
      <c r="F1305" s="129"/>
      <c r="G1305" s="187"/>
      <c r="H1305" s="129"/>
      <c r="I1305" s="129"/>
      <c r="J1305" s="129"/>
      <c r="K1305" s="129"/>
      <c r="L1305" s="129"/>
      <c r="M1305" s="129"/>
      <c r="N1305" s="129"/>
      <c r="O1305" s="346"/>
      <c r="P1305" s="347"/>
    </row>
    <row r="1306" spans="1:33" ht="14.25">
      <c r="A1306" s="190"/>
      <c r="C1306" s="193" t="s">
        <v>525</v>
      </c>
      <c r="E1306" s="193"/>
      <c r="G1306" s="193"/>
      <c r="O1306" s="379"/>
    </row>
    <row r="1307" spans="1:33" ht="14.25" customHeight="1">
      <c r="A1307" s="186"/>
      <c r="B1307" s="191" t="s">
        <v>92</v>
      </c>
      <c r="C1307" s="200">
        <v>5</v>
      </c>
      <c r="D1307" s="261" t="s">
        <v>82</v>
      </c>
      <c r="E1307" s="187"/>
      <c r="F1307" s="129"/>
      <c r="G1307" s="187"/>
      <c r="H1307" s="129"/>
      <c r="I1307" s="129"/>
      <c r="J1307" s="129"/>
      <c r="K1307" s="129"/>
      <c r="L1307" s="129"/>
      <c r="M1307" s="129"/>
      <c r="N1307" s="129"/>
      <c r="O1307" s="346"/>
      <c r="P1307" s="347"/>
    </row>
    <row r="1308" spans="1:33" ht="14.25" customHeight="1">
      <c r="A1308" s="190"/>
      <c r="C1308" s="193"/>
      <c r="E1308" s="193"/>
      <c r="G1308" s="193"/>
      <c r="O1308" s="339"/>
      <c r="Q1308" s="129"/>
      <c r="R1308" s="129"/>
      <c r="S1308" s="129"/>
      <c r="T1308" s="129"/>
      <c r="U1308" s="129"/>
      <c r="V1308" s="129"/>
      <c r="W1308" s="129"/>
      <c r="X1308" s="129"/>
      <c r="Y1308" s="129"/>
      <c r="Z1308" s="129"/>
      <c r="AA1308" s="129"/>
      <c r="AB1308" s="129"/>
      <c r="AC1308" s="129"/>
      <c r="AD1308" s="129"/>
      <c r="AE1308" s="129"/>
      <c r="AF1308" s="129"/>
      <c r="AG1308" s="129"/>
    </row>
    <row r="1309" spans="1:33">
      <c r="A1309" s="245" t="s">
        <v>586</v>
      </c>
      <c r="B1309" s="553" t="s">
        <v>580</v>
      </c>
      <c r="C1309" s="550"/>
      <c r="D1309" s="550"/>
      <c r="E1309" s="550"/>
      <c r="F1309" s="550"/>
      <c r="G1309" s="550"/>
      <c r="H1309" s="550"/>
      <c r="I1309" s="550"/>
      <c r="J1309" s="550"/>
      <c r="K1309" s="550"/>
      <c r="L1309" s="550"/>
      <c r="M1309" s="550"/>
      <c r="N1309" s="550"/>
      <c r="O1309" s="252" t="s">
        <v>1027</v>
      </c>
      <c r="P1309" s="350" t="s">
        <v>74</v>
      </c>
      <c r="Q1309" s="129"/>
      <c r="R1309" s="129"/>
      <c r="S1309" s="129"/>
      <c r="T1309" s="129"/>
      <c r="U1309" s="129"/>
      <c r="V1309" s="129"/>
      <c r="W1309" s="129"/>
      <c r="X1309" s="129"/>
      <c r="Y1309" s="129"/>
      <c r="Z1309" s="129"/>
      <c r="AA1309" s="129"/>
      <c r="AB1309" s="129"/>
      <c r="AC1309" s="129"/>
      <c r="AD1309" s="129"/>
      <c r="AE1309" s="129"/>
      <c r="AF1309" s="129"/>
      <c r="AG1309" s="129"/>
    </row>
    <row r="1310" spans="1:33" ht="14.25">
      <c r="A1310" s="186"/>
      <c r="B1310" s="129"/>
      <c r="C1310" s="187"/>
      <c r="D1310" s="129"/>
      <c r="E1310" s="187"/>
      <c r="F1310" s="129"/>
      <c r="G1310" s="187"/>
      <c r="H1310" s="129"/>
      <c r="I1310" s="129"/>
      <c r="J1310" s="129"/>
      <c r="K1310" s="129"/>
      <c r="L1310" s="129"/>
      <c r="M1310" s="129"/>
      <c r="N1310" s="129"/>
      <c r="O1310" s="346"/>
      <c r="P1310" s="347"/>
    </row>
    <row r="1311" spans="1:33" ht="14.25">
      <c r="A1311" s="190"/>
      <c r="C1311" s="193" t="s">
        <v>525</v>
      </c>
      <c r="E1311" s="193"/>
      <c r="G1311" s="193"/>
      <c r="O1311" s="379"/>
    </row>
    <row r="1312" spans="1:33" ht="14.25" customHeight="1">
      <c r="A1312" s="186"/>
      <c r="B1312" s="191" t="s">
        <v>92</v>
      </c>
      <c r="C1312" s="200">
        <v>1</v>
      </c>
      <c r="D1312" s="261" t="s">
        <v>82</v>
      </c>
      <c r="E1312" s="187"/>
      <c r="F1312" s="129"/>
      <c r="G1312" s="187"/>
      <c r="H1312" s="129"/>
      <c r="I1312" s="129"/>
      <c r="J1312" s="129"/>
      <c r="K1312" s="129"/>
      <c r="L1312" s="129"/>
      <c r="M1312" s="129"/>
      <c r="N1312" s="129"/>
      <c r="O1312" s="346"/>
      <c r="P1312" s="347"/>
    </row>
    <row r="1313" spans="1:33" ht="14.25" customHeight="1">
      <c r="A1313" s="186"/>
      <c r="B1313" s="191"/>
      <c r="C1313" s="200"/>
      <c r="D1313" s="261"/>
      <c r="E1313" s="187"/>
      <c r="F1313" s="129"/>
      <c r="G1313" s="187"/>
      <c r="H1313" s="129"/>
      <c r="I1313" s="129"/>
      <c r="J1313" s="129"/>
      <c r="K1313" s="129"/>
      <c r="L1313" s="129"/>
      <c r="M1313" s="129"/>
      <c r="N1313" s="129"/>
      <c r="O1313" s="346"/>
      <c r="P1313" s="347"/>
    </row>
    <row r="1314" spans="1:33">
      <c r="A1314" s="245" t="s">
        <v>588</v>
      </c>
      <c r="B1314" s="553" t="s">
        <v>1286</v>
      </c>
      <c r="C1314" s="550"/>
      <c r="D1314" s="550"/>
      <c r="E1314" s="550"/>
      <c r="F1314" s="550"/>
      <c r="G1314" s="550"/>
      <c r="H1314" s="550"/>
      <c r="I1314" s="550"/>
      <c r="J1314" s="550"/>
      <c r="K1314" s="550"/>
      <c r="L1314" s="550"/>
      <c r="M1314" s="550"/>
      <c r="N1314" s="550"/>
      <c r="O1314" s="252">
        <v>103972</v>
      </c>
      <c r="P1314" s="350"/>
      <c r="Q1314" s="129"/>
      <c r="R1314" s="129"/>
      <c r="S1314" s="129"/>
      <c r="T1314" s="129"/>
      <c r="U1314" s="129"/>
      <c r="V1314" s="129"/>
      <c r="W1314" s="129"/>
      <c r="X1314" s="129"/>
      <c r="Y1314" s="129"/>
      <c r="Z1314" s="129"/>
      <c r="AA1314" s="129"/>
      <c r="AB1314" s="129"/>
      <c r="AC1314" s="129"/>
      <c r="AD1314" s="129"/>
      <c r="AE1314" s="129"/>
      <c r="AF1314" s="129"/>
      <c r="AG1314" s="129"/>
    </row>
    <row r="1315" spans="1:33" ht="14.25">
      <c r="A1315" s="186"/>
      <c r="B1315" s="129"/>
      <c r="C1315" s="187"/>
      <c r="D1315" s="129"/>
      <c r="E1315" s="187"/>
      <c r="F1315" s="129"/>
      <c r="G1315" s="187"/>
      <c r="H1315" s="129"/>
      <c r="I1315" s="129"/>
      <c r="J1315" s="129"/>
      <c r="K1315" s="129"/>
      <c r="L1315" s="129"/>
      <c r="M1315" s="129"/>
      <c r="N1315" s="129"/>
      <c r="O1315" s="346"/>
      <c r="P1315" s="347"/>
    </row>
    <row r="1316" spans="1:33" ht="14.25">
      <c r="A1316" s="190"/>
      <c r="C1316" s="193" t="s">
        <v>525</v>
      </c>
      <c r="E1316" s="193"/>
      <c r="G1316" s="193"/>
      <c r="O1316" s="379"/>
    </row>
    <row r="1317" spans="1:33" ht="14.25" customHeight="1">
      <c r="A1317" s="186"/>
      <c r="B1317" s="191" t="s">
        <v>92</v>
      </c>
      <c r="C1317" s="200">
        <v>1</v>
      </c>
      <c r="D1317" s="261" t="s">
        <v>82</v>
      </c>
      <c r="E1317" s="187"/>
      <c r="F1317" s="129"/>
      <c r="G1317" s="187"/>
      <c r="H1317" s="129"/>
      <c r="I1317" s="129"/>
      <c r="J1317" s="129"/>
      <c r="K1317" s="129"/>
      <c r="L1317" s="129"/>
      <c r="M1317" s="129"/>
      <c r="N1317" s="129"/>
      <c r="O1317" s="346"/>
      <c r="P1317" s="347"/>
    </row>
    <row r="1318" spans="1:33" ht="14.25" customHeight="1">
      <c r="A1318" s="186"/>
      <c r="B1318" s="191"/>
      <c r="C1318" s="200"/>
      <c r="D1318" s="261"/>
      <c r="E1318" s="187"/>
      <c r="F1318" s="129"/>
      <c r="G1318" s="187"/>
      <c r="H1318" s="129"/>
      <c r="I1318" s="129"/>
      <c r="J1318" s="129"/>
      <c r="K1318" s="129"/>
      <c r="L1318" s="129"/>
      <c r="M1318" s="129"/>
      <c r="N1318" s="129"/>
      <c r="O1318" s="346"/>
      <c r="P1318" s="347"/>
    </row>
    <row r="1319" spans="1:33" ht="14.25" customHeight="1">
      <c r="A1319" s="245" t="s">
        <v>590</v>
      </c>
      <c r="B1319" s="544" t="s">
        <v>583</v>
      </c>
      <c r="C1319" s="550"/>
      <c r="D1319" s="550"/>
      <c r="E1319" s="550"/>
      <c r="F1319" s="550"/>
      <c r="G1319" s="550"/>
      <c r="H1319" s="550"/>
      <c r="I1319" s="550"/>
      <c r="J1319" s="550"/>
      <c r="K1319" s="550"/>
      <c r="L1319" s="550"/>
      <c r="M1319" s="550"/>
      <c r="N1319" s="550"/>
      <c r="O1319" s="252">
        <v>89987</v>
      </c>
      <c r="P1319" s="350"/>
    </row>
    <row r="1320" spans="1:33" ht="14.25" customHeight="1">
      <c r="A1320" s="190"/>
      <c r="C1320" s="193"/>
      <c r="E1320" s="193"/>
      <c r="G1320" s="193"/>
      <c r="O1320" s="339"/>
    </row>
    <row r="1321" spans="1:33" ht="14.25" customHeight="1">
      <c r="A1321" s="190"/>
      <c r="C1321" s="193" t="s">
        <v>87</v>
      </c>
      <c r="E1321" s="193"/>
      <c r="G1321" s="193"/>
      <c r="O1321" s="339"/>
    </row>
    <row r="1322" spans="1:33" ht="14.25" customHeight="1">
      <c r="A1322" s="190"/>
      <c r="B1322" s="191" t="s">
        <v>92</v>
      </c>
      <c r="C1322" s="192">
        <f>3+1</f>
        <v>4</v>
      </c>
      <c r="D1322" s="191" t="s">
        <v>82</v>
      </c>
      <c r="E1322" s="193"/>
      <c r="G1322" s="193"/>
      <c r="O1322" s="339"/>
    </row>
    <row r="1323" spans="1:33" ht="14.25" customHeight="1">
      <c r="A1323" s="190"/>
      <c r="C1323" s="193"/>
      <c r="E1323" s="193"/>
      <c r="G1323" s="193"/>
      <c r="O1323" s="339"/>
    </row>
    <row r="1324" spans="1:33" ht="17.25" customHeight="1">
      <c r="A1324" s="245" t="s">
        <v>592</v>
      </c>
      <c r="B1324" s="544" t="s">
        <v>585</v>
      </c>
      <c r="C1324" s="550"/>
      <c r="D1324" s="550"/>
      <c r="E1324" s="550"/>
      <c r="F1324" s="550"/>
      <c r="G1324" s="550"/>
      <c r="H1324" s="550"/>
      <c r="I1324" s="550"/>
      <c r="J1324" s="550"/>
      <c r="K1324" s="550"/>
      <c r="L1324" s="550"/>
      <c r="M1324" s="550"/>
      <c r="N1324" s="550"/>
      <c r="O1324" s="252">
        <v>94792</v>
      </c>
      <c r="P1324" s="350"/>
    </row>
    <row r="1325" spans="1:33" ht="14.25" customHeight="1">
      <c r="A1325" s="190"/>
      <c r="C1325" s="193"/>
      <c r="E1325" s="193"/>
      <c r="G1325" s="193"/>
      <c r="O1325" s="339"/>
    </row>
    <row r="1326" spans="1:33" ht="14.25" customHeight="1">
      <c r="A1326" s="190"/>
      <c r="C1326" s="193" t="s">
        <v>87</v>
      </c>
      <c r="E1326" s="193"/>
      <c r="G1326" s="193"/>
      <c r="O1326" s="339"/>
    </row>
    <row r="1327" spans="1:33" ht="14.25" customHeight="1">
      <c r="A1327" s="190"/>
      <c r="B1327" s="191" t="s">
        <v>92</v>
      </c>
      <c r="C1327" s="192">
        <f>2+10</f>
        <v>12</v>
      </c>
      <c r="D1327" s="191" t="s">
        <v>82</v>
      </c>
      <c r="E1327" s="193"/>
      <c r="G1327" s="193"/>
      <c r="O1327" s="339"/>
    </row>
    <row r="1328" spans="1:33" ht="14.25" customHeight="1">
      <c r="A1328" s="190"/>
      <c r="C1328" s="193"/>
      <c r="E1328" s="193"/>
      <c r="G1328" s="193"/>
      <c r="O1328" s="339"/>
    </row>
    <row r="1329" spans="1:16">
      <c r="A1329" s="245" t="s">
        <v>594</v>
      </c>
      <c r="B1329" s="544" t="s">
        <v>587</v>
      </c>
      <c r="C1329" s="550"/>
      <c r="D1329" s="550"/>
      <c r="E1329" s="550"/>
      <c r="F1329" s="550"/>
      <c r="G1329" s="550"/>
      <c r="H1329" s="550"/>
      <c r="I1329" s="550"/>
      <c r="J1329" s="550"/>
      <c r="K1329" s="550"/>
      <c r="L1329" s="550"/>
      <c r="M1329" s="550"/>
      <c r="N1329" s="550"/>
      <c r="O1329" s="252">
        <v>94794</v>
      </c>
      <c r="P1329" s="350"/>
    </row>
    <row r="1330" spans="1:16" ht="14.25" customHeight="1">
      <c r="A1330" s="190"/>
      <c r="C1330" s="193"/>
      <c r="E1330" s="193"/>
      <c r="G1330" s="193"/>
      <c r="O1330" s="339"/>
    </row>
    <row r="1331" spans="1:16" ht="14.25" customHeight="1">
      <c r="A1331" s="190"/>
      <c r="C1331" s="193" t="s">
        <v>87</v>
      </c>
      <c r="E1331" s="193"/>
      <c r="G1331" s="193"/>
      <c r="O1331" s="339"/>
    </row>
    <row r="1332" spans="1:16" ht="14.25" customHeight="1">
      <c r="A1332" s="190"/>
      <c r="B1332" s="191" t="s">
        <v>92</v>
      </c>
      <c r="C1332" s="192">
        <v>2</v>
      </c>
      <c r="D1332" s="191" t="s">
        <v>82</v>
      </c>
      <c r="E1332" s="193"/>
      <c r="G1332" s="193"/>
      <c r="O1332" s="339"/>
    </row>
    <row r="1333" spans="1:16" ht="14.25" customHeight="1">
      <c r="A1333" s="190"/>
      <c r="C1333" s="193"/>
      <c r="E1333" s="193"/>
      <c r="G1333" s="193"/>
      <c r="O1333" s="339"/>
    </row>
    <row r="1334" spans="1:16">
      <c r="A1334" s="245" t="s">
        <v>596</v>
      </c>
      <c r="B1334" s="544" t="s">
        <v>1290</v>
      </c>
      <c r="C1334" s="550"/>
      <c r="D1334" s="550"/>
      <c r="E1334" s="550"/>
      <c r="F1334" s="550"/>
      <c r="G1334" s="550"/>
      <c r="H1334" s="550"/>
      <c r="I1334" s="550"/>
      <c r="J1334" s="550"/>
      <c r="K1334" s="550"/>
      <c r="L1334" s="550"/>
      <c r="M1334" s="550"/>
      <c r="N1334" s="550"/>
      <c r="O1334" s="252">
        <v>94793</v>
      </c>
      <c r="P1334" s="350"/>
    </row>
    <row r="1335" spans="1:16" ht="14.25" customHeight="1">
      <c r="A1335" s="190"/>
      <c r="C1335" s="193"/>
      <c r="E1335" s="193"/>
      <c r="G1335" s="193"/>
      <c r="O1335" s="339"/>
    </row>
    <row r="1336" spans="1:16" ht="14.25" customHeight="1">
      <c r="A1336" s="190"/>
      <c r="C1336" s="193" t="s">
        <v>87</v>
      </c>
      <c r="E1336" s="193"/>
      <c r="G1336" s="193"/>
      <c r="O1336" s="339"/>
    </row>
    <row r="1337" spans="1:16" ht="14.25" customHeight="1">
      <c r="A1337" s="190"/>
      <c r="B1337" s="191" t="s">
        <v>92</v>
      </c>
      <c r="C1337" s="192">
        <v>4</v>
      </c>
      <c r="D1337" s="191" t="s">
        <v>82</v>
      </c>
      <c r="E1337" s="193"/>
      <c r="G1337" s="193"/>
      <c r="O1337" s="339"/>
    </row>
    <row r="1338" spans="1:16" ht="14.25" customHeight="1">
      <c r="A1338" s="190"/>
      <c r="C1338" s="193"/>
      <c r="E1338" s="193"/>
      <c r="G1338" s="193"/>
      <c r="O1338" s="339"/>
    </row>
    <row r="1339" spans="1:16">
      <c r="A1339" s="245" t="s">
        <v>598</v>
      </c>
      <c r="B1339" s="544" t="s">
        <v>1291</v>
      </c>
      <c r="C1339" s="550"/>
      <c r="D1339" s="550"/>
      <c r="E1339" s="550"/>
      <c r="F1339" s="550"/>
      <c r="G1339" s="550"/>
      <c r="H1339" s="550"/>
      <c r="I1339" s="550"/>
      <c r="J1339" s="550"/>
      <c r="K1339" s="550"/>
      <c r="L1339" s="550"/>
      <c r="M1339" s="550"/>
      <c r="N1339" s="550"/>
      <c r="O1339" s="252">
        <v>94499</v>
      </c>
      <c r="P1339" s="350"/>
    </row>
    <row r="1340" spans="1:16" ht="14.25" customHeight="1">
      <c r="A1340" s="190"/>
      <c r="C1340" s="193"/>
      <c r="E1340" s="193"/>
      <c r="G1340" s="193"/>
      <c r="O1340" s="339"/>
    </row>
    <row r="1341" spans="1:16" ht="14.25" customHeight="1">
      <c r="A1341" s="190"/>
      <c r="C1341" s="193" t="s">
        <v>87</v>
      </c>
      <c r="E1341" s="193"/>
      <c r="G1341" s="193"/>
      <c r="O1341" s="339"/>
    </row>
    <row r="1342" spans="1:16" ht="14.25" customHeight="1">
      <c r="A1342" s="190"/>
      <c r="B1342" s="191" t="s">
        <v>92</v>
      </c>
      <c r="C1342" s="192">
        <v>1</v>
      </c>
      <c r="D1342" s="191" t="s">
        <v>82</v>
      </c>
      <c r="E1342" s="193"/>
      <c r="G1342" s="193"/>
      <c r="O1342" s="339"/>
    </row>
    <row r="1343" spans="1:16" ht="14.25" customHeight="1">
      <c r="A1343" s="190"/>
      <c r="C1343" s="193"/>
      <c r="E1343" s="193"/>
      <c r="G1343" s="193"/>
      <c r="O1343" s="339"/>
    </row>
    <row r="1344" spans="1:16" ht="14.25" customHeight="1">
      <c r="A1344" s="245" t="s">
        <v>600</v>
      </c>
      <c r="B1344" s="553" t="s">
        <v>589</v>
      </c>
      <c r="C1344" s="550"/>
      <c r="D1344" s="550"/>
      <c r="E1344" s="550"/>
      <c r="F1344" s="550"/>
      <c r="G1344" s="550"/>
      <c r="H1344" s="550"/>
      <c r="I1344" s="550"/>
      <c r="J1344" s="550"/>
      <c r="K1344" s="550"/>
      <c r="L1344" s="550"/>
      <c r="M1344" s="550"/>
      <c r="N1344" s="550"/>
      <c r="O1344" s="252">
        <v>94489</v>
      </c>
      <c r="P1344" s="350"/>
    </row>
    <row r="1345" spans="1:33" ht="14.25" customHeight="1">
      <c r="A1345" s="190"/>
      <c r="C1345" s="193"/>
      <c r="E1345" s="193"/>
      <c r="G1345" s="193"/>
      <c r="O1345" s="339"/>
    </row>
    <row r="1346" spans="1:33" ht="14.25" customHeight="1">
      <c r="A1346" s="190"/>
      <c r="C1346" s="193" t="s">
        <v>87</v>
      </c>
      <c r="E1346" s="193"/>
      <c r="G1346" s="193"/>
      <c r="O1346" s="339"/>
    </row>
    <row r="1347" spans="1:33" ht="15" customHeight="1">
      <c r="A1347" s="190"/>
      <c r="B1347" s="191" t="s">
        <v>92</v>
      </c>
      <c r="C1347" s="192">
        <v>1</v>
      </c>
      <c r="D1347" s="191" t="s">
        <v>82</v>
      </c>
      <c r="E1347" s="193"/>
      <c r="G1347" s="193"/>
      <c r="O1347" s="339"/>
    </row>
    <row r="1348" spans="1:33" ht="14.25" customHeight="1">
      <c r="A1348" s="190"/>
      <c r="B1348" s="191"/>
      <c r="C1348" s="192"/>
      <c r="D1348" s="191"/>
      <c r="E1348" s="193"/>
      <c r="G1348" s="193"/>
      <c r="O1348" s="339"/>
    </row>
    <row r="1349" spans="1:33" ht="14.25" customHeight="1">
      <c r="A1349" s="245" t="s">
        <v>602</v>
      </c>
      <c r="B1349" s="553" t="s">
        <v>1292</v>
      </c>
      <c r="C1349" s="550"/>
      <c r="D1349" s="550"/>
      <c r="E1349" s="550"/>
      <c r="F1349" s="550"/>
      <c r="G1349" s="550"/>
      <c r="H1349" s="550"/>
      <c r="I1349" s="550"/>
      <c r="J1349" s="550"/>
      <c r="K1349" s="550"/>
      <c r="L1349" s="550"/>
      <c r="M1349" s="550"/>
      <c r="N1349" s="550"/>
      <c r="O1349" s="252">
        <v>89985</v>
      </c>
      <c r="P1349" s="350"/>
    </row>
    <row r="1350" spans="1:33" ht="14.25" customHeight="1">
      <c r="A1350" s="190"/>
      <c r="C1350" s="193"/>
      <c r="E1350" s="193"/>
      <c r="G1350" s="193"/>
      <c r="O1350" s="339"/>
    </row>
    <row r="1351" spans="1:33" ht="14.25" customHeight="1">
      <c r="A1351" s="190"/>
      <c r="C1351" s="193" t="s">
        <v>87</v>
      </c>
      <c r="E1351" s="193"/>
      <c r="G1351" s="193"/>
      <c r="O1351" s="339"/>
    </row>
    <row r="1352" spans="1:33" ht="15" customHeight="1">
      <c r="A1352" s="190"/>
      <c r="B1352" s="191" t="s">
        <v>92</v>
      </c>
      <c r="C1352" s="192">
        <v>8</v>
      </c>
      <c r="D1352" s="191" t="s">
        <v>82</v>
      </c>
      <c r="E1352" s="193"/>
      <c r="G1352" s="193"/>
      <c r="O1352" s="339"/>
    </row>
    <row r="1353" spans="1:33" ht="14.25" customHeight="1">
      <c r="A1353" s="190"/>
      <c r="B1353" s="191"/>
      <c r="C1353" s="192"/>
      <c r="D1353" s="191"/>
      <c r="E1353" s="193"/>
      <c r="G1353" s="193"/>
      <c r="O1353" s="339"/>
    </row>
    <row r="1354" spans="1:33" ht="14.25" customHeight="1">
      <c r="A1354" s="245" t="s">
        <v>1337</v>
      </c>
      <c r="B1354" s="544" t="s">
        <v>591</v>
      </c>
      <c r="C1354" s="550"/>
      <c r="D1354" s="550"/>
      <c r="E1354" s="550"/>
      <c r="F1354" s="550"/>
      <c r="G1354" s="550"/>
      <c r="H1354" s="550"/>
      <c r="I1354" s="550"/>
      <c r="J1354" s="550"/>
      <c r="K1354" s="550"/>
      <c r="L1354" s="550"/>
      <c r="M1354" s="550"/>
      <c r="N1354" s="550"/>
      <c r="O1354" s="252">
        <v>103011</v>
      </c>
      <c r="P1354" s="350"/>
    </row>
    <row r="1355" spans="1:33" ht="14.25" customHeight="1">
      <c r="A1355" s="190"/>
      <c r="C1355" s="193"/>
      <c r="E1355" s="193"/>
      <c r="G1355" s="193"/>
      <c r="O1355" s="339"/>
    </row>
    <row r="1356" spans="1:33" ht="14.25" customHeight="1">
      <c r="A1356" s="190"/>
      <c r="C1356" s="193" t="s">
        <v>87</v>
      </c>
      <c r="E1356" s="193"/>
      <c r="G1356" s="193"/>
      <c r="O1356" s="339"/>
    </row>
    <row r="1357" spans="1:33" ht="14.25" customHeight="1">
      <c r="A1357" s="190"/>
      <c r="B1357" s="191" t="s">
        <v>92</v>
      </c>
      <c r="C1357" s="192">
        <v>1</v>
      </c>
      <c r="D1357" s="191" t="s">
        <v>82</v>
      </c>
      <c r="E1357" s="193"/>
      <c r="G1357" s="193"/>
      <c r="O1357" s="339"/>
    </row>
    <row r="1358" spans="1:33" ht="14.25" customHeight="1">
      <c r="A1358" s="190"/>
      <c r="C1358" s="193"/>
      <c r="E1358" s="193"/>
      <c r="G1358" s="193"/>
      <c r="O1358" s="339"/>
      <c r="Q1358" s="129"/>
      <c r="R1358" s="129"/>
      <c r="S1358" s="129"/>
      <c r="T1358" s="129"/>
      <c r="U1358" s="129"/>
      <c r="V1358" s="129"/>
      <c r="W1358" s="129"/>
      <c r="X1358" s="129"/>
      <c r="Y1358" s="129"/>
      <c r="Z1358" s="129"/>
      <c r="AA1358" s="129"/>
      <c r="AB1358" s="129"/>
      <c r="AC1358" s="129"/>
      <c r="AD1358" s="129"/>
      <c r="AE1358" s="129"/>
      <c r="AF1358" s="129"/>
      <c r="AG1358" s="129"/>
    </row>
    <row r="1359" spans="1:33" ht="14.25" customHeight="1">
      <c r="A1359" s="245" t="s">
        <v>1338</v>
      </c>
      <c r="B1359" s="544" t="s">
        <v>593</v>
      </c>
      <c r="C1359" s="550"/>
      <c r="D1359" s="550"/>
      <c r="E1359" s="550"/>
      <c r="F1359" s="550"/>
      <c r="G1359" s="550"/>
      <c r="H1359" s="550"/>
      <c r="I1359" s="550"/>
      <c r="J1359" s="550"/>
      <c r="K1359" s="550"/>
      <c r="L1359" s="550"/>
      <c r="M1359" s="550"/>
      <c r="N1359" s="550"/>
      <c r="O1359" s="252" t="s">
        <v>1028</v>
      </c>
      <c r="P1359" s="350" t="s">
        <v>74</v>
      </c>
    </row>
    <row r="1360" spans="1:33" ht="14.25" customHeight="1">
      <c r="A1360" s="190"/>
      <c r="C1360" s="193"/>
      <c r="E1360" s="193"/>
      <c r="G1360" s="193"/>
      <c r="O1360" s="339"/>
    </row>
    <row r="1361" spans="1:33" ht="14.25" customHeight="1">
      <c r="A1361" s="190"/>
      <c r="C1361" s="193" t="s">
        <v>87</v>
      </c>
      <c r="E1361" s="193"/>
      <c r="G1361" s="193"/>
      <c r="O1361" s="339"/>
    </row>
    <row r="1362" spans="1:33" ht="14.25" customHeight="1">
      <c r="A1362" s="190"/>
      <c r="B1362" s="191" t="s">
        <v>92</v>
      </c>
      <c r="C1362" s="192">
        <v>4</v>
      </c>
      <c r="D1362" s="191" t="s">
        <v>82</v>
      </c>
      <c r="E1362" s="193"/>
      <c r="G1362" s="193"/>
      <c r="O1362" s="339"/>
    </row>
    <row r="1363" spans="1:33" ht="14.25" customHeight="1">
      <c r="A1363" s="190"/>
      <c r="C1363" s="193"/>
      <c r="E1363" s="193"/>
      <c r="G1363" s="193"/>
      <c r="O1363" s="339"/>
      <c r="Q1363" s="129"/>
      <c r="R1363" s="129"/>
      <c r="S1363" s="129"/>
      <c r="T1363" s="129"/>
      <c r="U1363" s="129"/>
      <c r="V1363" s="129"/>
      <c r="W1363" s="129"/>
      <c r="X1363" s="129"/>
      <c r="Y1363" s="129"/>
      <c r="Z1363" s="129"/>
      <c r="AA1363" s="129"/>
      <c r="AB1363" s="129"/>
      <c r="AC1363" s="129"/>
      <c r="AD1363" s="129"/>
      <c r="AE1363" s="129"/>
      <c r="AF1363" s="129"/>
      <c r="AG1363" s="129"/>
    </row>
    <row r="1364" spans="1:33">
      <c r="A1364" s="247" t="s">
        <v>1339</v>
      </c>
      <c r="B1364" s="555" t="s">
        <v>595</v>
      </c>
      <c r="C1364" s="555"/>
      <c r="D1364" s="555"/>
      <c r="E1364" s="555"/>
      <c r="F1364" s="555"/>
      <c r="G1364" s="555"/>
      <c r="H1364" s="555"/>
      <c r="I1364" s="555"/>
      <c r="J1364" s="555"/>
      <c r="K1364" s="555"/>
      <c r="L1364" s="555"/>
      <c r="M1364" s="555"/>
      <c r="N1364" s="555"/>
      <c r="O1364" s="367">
        <v>94796</v>
      </c>
      <c r="P1364" s="361"/>
    </row>
    <row r="1365" spans="1:33" ht="14.25" customHeight="1">
      <c r="A1365" s="190"/>
      <c r="C1365" s="193"/>
      <c r="E1365" s="193"/>
      <c r="G1365" s="193"/>
      <c r="O1365" s="379"/>
    </row>
    <row r="1366" spans="1:33" ht="14.25">
      <c r="A1366" s="190"/>
      <c r="C1366" s="193" t="s">
        <v>87</v>
      </c>
      <c r="E1366" s="193"/>
      <c r="G1366" s="193"/>
      <c r="O1366" s="339"/>
    </row>
    <row r="1367" spans="1:33">
      <c r="A1367" s="190"/>
      <c r="B1367" s="191" t="s">
        <v>92</v>
      </c>
      <c r="C1367" s="192">
        <v>1</v>
      </c>
      <c r="D1367" s="191" t="s">
        <v>82</v>
      </c>
      <c r="E1367" s="192"/>
      <c r="G1367" s="193"/>
      <c r="O1367" s="379"/>
    </row>
    <row r="1368" spans="1:33" ht="14.25">
      <c r="A1368" s="190"/>
      <c r="C1368" s="193"/>
      <c r="E1368" s="193"/>
      <c r="G1368" s="193"/>
      <c r="O1368" s="379"/>
    </row>
    <row r="1369" spans="1:33" ht="14.25" customHeight="1">
      <c r="A1369" s="245" t="s">
        <v>1340</v>
      </c>
      <c r="B1369" s="544" t="s">
        <v>597</v>
      </c>
      <c r="C1369" s="550"/>
      <c r="D1369" s="550"/>
      <c r="E1369" s="550"/>
      <c r="F1369" s="550"/>
      <c r="G1369" s="550"/>
      <c r="H1369" s="550"/>
      <c r="I1369" s="550"/>
      <c r="J1369" s="550"/>
      <c r="K1369" s="550"/>
      <c r="L1369" s="550"/>
      <c r="M1369" s="550"/>
      <c r="N1369" s="550"/>
      <c r="O1369" s="252">
        <v>102116</v>
      </c>
      <c r="P1369" s="350"/>
      <c r="Q1369" s="129"/>
      <c r="R1369" s="129"/>
      <c r="S1369" s="129"/>
      <c r="T1369" s="129"/>
      <c r="U1369" s="129"/>
      <c r="V1369" s="129"/>
      <c r="W1369" s="129"/>
      <c r="X1369" s="129"/>
      <c r="Y1369" s="129"/>
      <c r="Z1369" s="129"/>
      <c r="AA1369" s="129"/>
      <c r="AB1369" s="129"/>
      <c r="AC1369" s="129"/>
      <c r="AD1369" s="129"/>
      <c r="AE1369" s="129"/>
      <c r="AF1369" s="129"/>
      <c r="AG1369" s="129"/>
    </row>
    <row r="1370" spans="1:33" ht="14.25" customHeight="1">
      <c r="A1370" s="195"/>
      <c r="B1370" s="263"/>
      <c r="C1370" s="196"/>
      <c r="D1370" s="196"/>
      <c r="E1370" s="196"/>
      <c r="F1370" s="196"/>
      <c r="G1370" s="196"/>
      <c r="H1370" s="196"/>
      <c r="I1370" s="196"/>
      <c r="J1370" s="196"/>
      <c r="K1370" s="196"/>
      <c r="L1370" s="196"/>
      <c r="M1370" s="196"/>
      <c r="N1370" s="196"/>
      <c r="O1370" s="252"/>
      <c r="P1370" s="350"/>
      <c r="Q1370" s="129"/>
      <c r="R1370" s="129"/>
      <c r="S1370" s="129"/>
      <c r="T1370" s="129"/>
      <c r="U1370" s="129"/>
      <c r="V1370" s="129"/>
      <c r="W1370" s="129"/>
      <c r="X1370" s="129"/>
      <c r="Y1370" s="129"/>
      <c r="Z1370" s="129"/>
      <c r="AA1370" s="129"/>
      <c r="AB1370" s="129"/>
      <c r="AC1370" s="129"/>
      <c r="AD1370" s="129"/>
      <c r="AE1370" s="129"/>
      <c r="AF1370" s="129"/>
      <c r="AG1370" s="129"/>
    </row>
    <row r="1371" spans="1:33" ht="15" customHeight="1">
      <c r="A1371" s="186"/>
      <c r="B1371" s="129"/>
      <c r="C1371" s="187" t="s">
        <v>87</v>
      </c>
      <c r="D1371" s="129"/>
      <c r="E1371" s="187"/>
      <c r="F1371" s="129"/>
      <c r="G1371" s="187"/>
      <c r="H1371" s="294"/>
      <c r="I1371" s="129"/>
      <c r="J1371" s="129"/>
      <c r="K1371" s="129"/>
      <c r="L1371" s="129"/>
      <c r="M1371" s="129"/>
      <c r="N1371" s="129"/>
      <c r="O1371" s="346"/>
      <c r="P1371" s="347"/>
      <c r="Q1371" s="129"/>
      <c r="R1371" s="129"/>
      <c r="S1371" s="129"/>
      <c r="T1371" s="129"/>
      <c r="U1371" s="129"/>
      <c r="V1371" s="129"/>
      <c r="W1371" s="129"/>
      <c r="X1371" s="129"/>
      <c r="Y1371" s="129"/>
      <c r="Z1371" s="129"/>
      <c r="AA1371" s="129"/>
      <c r="AB1371" s="129"/>
      <c r="AC1371" s="129"/>
      <c r="AD1371" s="129"/>
      <c r="AE1371" s="129"/>
      <c r="AF1371" s="129"/>
      <c r="AG1371" s="129"/>
    </row>
    <row r="1372" spans="1:33" ht="14.25" customHeight="1">
      <c r="A1372" s="186"/>
      <c r="B1372" s="191" t="s">
        <v>92</v>
      </c>
      <c r="C1372" s="200">
        <v>2</v>
      </c>
      <c r="D1372" s="261" t="s">
        <v>82</v>
      </c>
      <c r="E1372" s="187"/>
      <c r="F1372" s="129"/>
      <c r="G1372" s="187"/>
      <c r="H1372" s="129"/>
      <c r="I1372" s="129"/>
      <c r="J1372" s="129"/>
      <c r="K1372" s="129"/>
      <c r="L1372" s="129"/>
      <c r="M1372" s="129"/>
      <c r="N1372" s="129"/>
      <c r="O1372" s="346"/>
      <c r="P1372" s="347"/>
    </row>
    <row r="1373" spans="1:33" ht="14.25">
      <c r="A1373" s="190"/>
      <c r="C1373" s="193"/>
      <c r="E1373" s="193"/>
      <c r="G1373" s="193"/>
      <c r="O1373" s="339"/>
      <c r="Q1373" s="129"/>
      <c r="R1373" s="129"/>
      <c r="S1373" s="129"/>
      <c r="T1373" s="129"/>
      <c r="U1373" s="129"/>
      <c r="V1373" s="129"/>
      <c r="W1373" s="129"/>
      <c r="X1373" s="129"/>
      <c r="Y1373" s="129"/>
      <c r="Z1373" s="129"/>
      <c r="AA1373" s="129"/>
      <c r="AB1373" s="129"/>
      <c r="AC1373" s="129"/>
      <c r="AD1373" s="129"/>
      <c r="AE1373" s="129"/>
      <c r="AF1373" s="129"/>
      <c r="AG1373" s="129"/>
    </row>
    <row r="1374" spans="1:33" ht="30" customHeight="1">
      <c r="A1374" s="245" t="s">
        <v>1341</v>
      </c>
      <c r="B1374" s="544" t="s">
        <v>599</v>
      </c>
      <c r="C1374" s="550"/>
      <c r="D1374" s="550"/>
      <c r="E1374" s="550"/>
      <c r="F1374" s="550"/>
      <c r="G1374" s="550"/>
      <c r="H1374" s="550"/>
      <c r="I1374" s="550"/>
      <c r="J1374" s="550"/>
      <c r="K1374" s="550"/>
      <c r="L1374" s="550"/>
      <c r="M1374" s="550"/>
      <c r="N1374" s="550"/>
      <c r="O1374" s="252">
        <v>94483</v>
      </c>
      <c r="P1374" s="350"/>
      <c r="Q1374" s="129"/>
      <c r="R1374" s="129"/>
      <c r="S1374" s="129"/>
      <c r="T1374" s="129"/>
      <c r="U1374" s="129"/>
      <c r="V1374" s="129"/>
      <c r="W1374" s="129"/>
      <c r="X1374" s="129"/>
      <c r="Y1374" s="129"/>
      <c r="Z1374" s="129"/>
      <c r="AA1374" s="129"/>
      <c r="AB1374" s="129"/>
      <c r="AC1374" s="129"/>
      <c r="AD1374" s="129"/>
      <c r="AE1374" s="129"/>
      <c r="AF1374" s="129"/>
      <c r="AG1374" s="129"/>
    </row>
    <row r="1375" spans="1:33" ht="14.25" customHeight="1">
      <c r="A1375" s="186"/>
      <c r="B1375" s="129"/>
      <c r="C1375" s="187"/>
      <c r="D1375" s="129"/>
      <c r="E1375" s="187"/>
      <c r="F1375" s="129"/>
      <c r="G1375" s="187"/>
      <c r="H1375" s="129"/>
      <c r="I1375" s="129"/>
      <c r="J1375" s="129"/>
      <c r="K1375" s="129"/>
      <c r="L1375" s="129"/>
      <c r="M1375" s="129"/>
      <c r="N1375" s="129"/>
      <c r="O1375" s="346"/>
      <c r="P1375" s="347"/>
      <c r="Q1375" s="129"/>
      <c r="R1375" s="129"/>
      <c r="S1375" s="129"/>
      <c r="T1375" s="129"/>
      <c r="U1375" s="129"/>
      <c r="V1375" s="129"/>
      <c r="W1375" s="129"/>
      <c r="X1375" s="129"/>
      <c r="Y1375" s="129"/>
      <c r="Z1375" s="129"/>
      <c r="AA1375" s="129"/>
      <c r="AB1375" s="129"/>
      <c r="AC1375" s="129"/>
      <c r="AD1375" s="129"/>
      <c r="AE1375" s="129"/>
      <c r="AF1375" s="129"/>
      <c r="AG1375" s="129"/>
    </row>
    <row r="1376" spans="1:33" ht="15" customHeight="1">
      <c r="A1376" s="186"/>
      <c r="B1376" s="129"/>
      <c r="C1376" s="187" t="s">
        <v>87</v>
      </c>
      <c r="D1376" s="129"/>
      <c r="E1376" s="187"/>
      <c r="F1376" s="129"/>
      <c r="G1376" s="187"/>
      <c r="H1376" s="129"/>
      <c r="I1376" s="129"/>
      <c r="J1376" s="129"/>
      <c r="K1376" s="129"/>
      <c r="L1376" s="129"/>
      <c r="M1376" s="129"/>
      <c r="N1376" s="129"/>
      <c r="O1376" s="346"/>
      <c r="P1376" s="347"/>
      <c r="Q1376" s="129"/>
      <c r="R1376" s="129"/>
      <c r="S1376" s="129"/>
      <c r="T1376" s="129"/>
      <c r="U1376" s="129"/>
      <c r="V1376" s="129"/>
      <c r="W1376" s="129"/>
      <c r="X1376" s="129"/>
      <c r="Y1376" s="129"/>
      <c r="Z1376" s="129"/>
      <c r="AA1376" s="129"/>
      <c r="AB1376" s="129"/>
      <c r="AC1376" s="129"/>
      <c r="AD1376" s="129"/>
      <c r="AE1376" s="129"/>
      <c r="AF1376" s="129"/>
      <c r="AG1376" s="129"/>
    </row>
    <row r="1377" spans="1:33" ht="14.25" customHeight="1">
      <c r="A1377" s="186"/>
      <c r="B1377" s="191" t="s">
        <v>92</v>
      </c>
      <c r="C1377" s="200">
        <v>2</v>
      </c>
      <c r="D1377" s="261" t="s">
        <v>82</v>
      </c>
      <c r="E1377" s="187"/>
      <c r="F1377" s="129"/>
      <c r="G1377" s="187"/>
      <c r="H1377" s="129"/>
      <c r="I1377" s="129"/>
      <c r="J1377" s="129"/>
      <c r="K1377" s="129"/>
      <c r="L1377" s="129"/>
      <c r="M1377" s="129"/>
      <c r="N1377" s="129"/>
      <c r="O1377" s="346"/>
      <c r="P1377" s="347"/>
    </row>
    <row r="1378" spans="1:33" ht="14.25">
      <c r="A1378" s="190"/>
      <c r="C1378" s="193"/>
      <c r="E1378" s="193"/>
      <c r="G1378" s="193"/>
      <c r="O1378" s="339"/>
      <c r="Q1378" s="129"/>
      <c r="R1378" s="129"/>
      <c r="S1378" s="129"/>
      <c r="T1378" s="129"/>
      <c r="U1378" s="129"/>
      <c r="V1378" s="129"/>
      <c r="W1378" s="129"/>
      <c r="X1378" s="129"/>
      <c r="Y1378" s="129"/>
      <c r="Z1378" s="129"/>
      <c r="AA1378" s="129"/>
      <c r="AB1378" s="129"/>
      <c r="AC1378" s="129"/>
      <c r="AD1378" s="129"/>
      <c r="AE1378" s="129"/>
      <c r="AF1378" s="129"/>
      <c r="AG1378" s="129"/>
    </row>
    <row r="1379" spans="1:33">
      <c r="A1379" s="245" t="s">
        <v>1342</v>
      </c>
      <c r="B1379" s="553" t="s">
        <v>601</v>
      </c>
      <c r="C1379" s="550"/>
      <c r="D1379" s="550"/>
      <c r="E1379" s="550"/>
      <c r="F1379" s="550"/>
      <c r="G1379" s="550"/>
      <c r="H1379" s="550"/>
      <c r="I1379" s="550"/>
      <c r="J1379" s="550"/>
      <c r="K1379" s="550"/>
      <c r="L1379" s="550"/>
      <c r="M1379" s="550"/>
      <c r="N1379" s="550"/>
      <c r="O1379" s="252">
        <v>95675</v>
      </c>
      <c r="P1379" s="350"/>
      <c r="Q1379" s="129"/>
      <c r="R1379" s="129"/>
      <c r="S1379" s="129"/>
      <c r="T1379" s="129"/>
      <c r="U1379" s="129"/>
      <c r="V1379" s="129"/>
      <c r="W1379" s="129"/>
      <c r="X1379" s="129"/>
      <c r="Y1379" s="129"/>
      <c r="Z1379" s="129"/>
      <c r="AA1379" s="129"/>
      <c r="AB1379" s="129"/>
      <c r="AC1379" s="129"/>
      <c r="AD1379" s="129"/>
      <c r="AE1379" s="129"/>
      <c r="AF1379" s="129"/>
      <c r="AG1379" s="129"/>
    </row>
    <row r="1380" spans="1:33" ht="14.25" customHeight="1">
      <c r="A1380" s="186"/>
      <c r="B1380" s="129"/>
      <c r="C1380" s="187"/>
      <c r="D1380" s="129"/>
      <c r="E1380" s="187"/>
      <c r="F1380" s="129"/>
      <c r="G1380" s="187"/>
      <c r="H1380" s="129"/>
      <c r="I1380" s="129"/>
      <c r="J1380" s="129"/>
      <c r="K1380" s="129"/>
      <c r="L1380" s="129"/>
      <c r="M1380" s="129"/>
      <c r="N1380" s="129"/>
      <c r="O1380" s="346"/>
      <c r="P1380" s="347"/>
      <c r="Q1380" s="129"/>
      <c r="R1380" s="129"/>
      <c r="S1380" s="129"/>
      <c r="T1380" s="129"/>
      <c r="U1380" s="129"/>
      <c r="V1380" s="129"/>
      <c r="W1380" s="129"/>
      <c r="X1380" s="129"/>
      <c r="Y1380" s="129"/>
      <c r="Z1380" s="129"/>
      <c r="AA1380" s="129"/>
      <c r="AB1380" s="129"/>
      <c r="AC1380" s="129"/>
      <c r="AD1380" s="129"/>
      <c r="AE1380" s="129"/>
      <c r="AF1380" s="129"/>
      <c r="AG1380" s="129"/>
    </row>
    <row r="1381" spans="1:33" ht="15" customHeight="1">
      <c r="A1381" s="186"/>
      <c r="B1381" s="129"/>
      <c r="C1381" s="187" t="s">
        <v>87</v>
      </c>
      <c r="D1381" s="129"/>
      <c r="E1381" s="187"/>
      <c r="F1381" s="129"/>
      <c r="G1381" s="187"/>
      <c r="H1381" s="129"/>
      <c r="I1381" s="129"/>
      <c r="J1381" s="129"/>
      <c r="K1381" s="129"/>
      <c r="L1381" s="129"/>
      <c r="M1381" s="129"/>
      <c r="N1381" s="129"/>
      <c r="O1381" s="346"/>
      <c r="P1381" s="347"/>
      <c r="Q1381" s="129"/>
      <c r="R1381" s="129"/>
      <c r="S1381" s="129"/>
      <c r="T1381" s="129"/>
      <c r="U1381" s="129"/>
      <c r="V1381" s="129"/>
      <c r="W1381" s="129"/>
      <c r="X1381" s="129"/>
      <c r="Y1381" s="129"/>
      <c r="Z1381" s="129"/>
      <c r="AA1381" s="129"/>
      <c r="AB1381" s="129"/>
      <c r="AC1381" s="129"/>
      <c r="AD1381" s="129"/>
      <c r="AE1381" s="129"/>
      <c r="AF1381" s="129"/>
      <c r="AG1381" s="129"/>
    </row>
    <row r="1382" spans="1:33" ht="14.25" customHeight="1">
      <c r="A1382" s="186"/>
      <c r="B1382" s="191" t="s">
        <v>92</v>
      </c>
      <c r="C1382" s="200">
        <v>1</v>
      </c>
      <c r="D1382" s="261" t="s">
        <v>82</v>
      </c>
      <c r="E1382" s="187"/>
      <c r="F1382" s="129"/>
      <c r="G1382" s="187"/>
      <c r="H1382" s="129"/>
      <c r="I1382" s="129"/>
      <c r="J1382" s="129"/>
      <c r="K1382" s="129"/>
      <c r="L1382" s="129"/>
      <c r="M1382" s="129"/>
      <c r="N1382" s="129"/>
      <c r="O1382" s="346"/>
      <c r="P1382" s="347"/>
    </row>
    <row r="1383" spans="1:33" ht="14.25" customHeight="1">
      <c r="A1383" s="190"/>
      <c r="C1383" s="193"/>
      <c r="E1383" s="193"/>
      <c r="G1383" s="193"/>
      <c r="O1383" s="339"/>
      <c r="Q1383" s="129"/>
      <c r="R1383" s="129"/>
      <c r="S1383" s="129"/>
      <c r="T1383" s="129"/>
      <c r="U1383" s="129"/>
      <c r="V1383" s="129"/>
      <c r="W1383" s="129"/>
      <c r="X1383" s="129"/>
      <c r="Y1383" s="129"/>
      <c r="Z1383" s="129"/>
      <c r="AA1383" s="129"/>
      <c r="AB1383" s="129"/>
      <c r="AC1383" s="129"/>
      <c r="AD1383" s="129"/>
      <c r="AE1383" s="129"/>
      <c r="AF1383" s="129"/>
      <c r="AG1383" s="129"/>
    </row>
    <row r="1384" spans="1:33" ht="14.25" customHeight="1">
      <c r="A1384" s="245" t="s">
        <v>1343</v>
      </c>
      <c r="B1384" s="544" t="s">
        <v>1137</v>
      </c>
      <c r="C1384" s="550"/>
      <c r="D1384" s="550"/>
      <c r="E1384" s="550"/>
      <c r="F1384" s="550"/>
      <c r="G1384" s="550"/>
      <c r="H1384" s="550"/>
      <c r="I1384" s="550"/>
      <c r="J1384" s="550"/>
      <c r="K1384" s="550"/>
      <c r="L1384" s="550"/>
      <c r="M1384" s="550"/>
      <c r="N1384" s="550"/>
      <c r="O1384" s="252">
        <v>13168</v>
      </c>
      <c r="P1384" s="350" t="s">
        <v>1139</v>
      </c>
      <c r="Q1384" s="129"/>
      <c r="R1384" s="129"/>
      <c r="S1384" s="129"/>
      <c r="T1384" s="129"/>
      <c r="U1384" s="129"/>
      <c r="V1384" s="129"/>
      <c r="W1384" s="129"/>
      <c r="X1384" s="129"/>
      <c r="Y1384" s="129"/>
      <c r="Z1384" s="129"/>
      <c r="AA1384" s="129"/>
      <c r="AB1384" s="129"/>
      <c r="AC1384" s="129"/>
      <c r="AD1384" s="129"/>
      <c r="AE1384" s="129"/>
      <c r="AF1384" s="129"/>
      <c r="AG1384" s="129"/>
    </row>
    <row r="1385" spans="1:33" ht="15" customHeight="1">
      <c r="A1385" s="186"/>
      <c r="B1385" s="129"/>
      <c r="C1385" s="187"/>
      <c r="D1385" s="129"/>
      <c r="E1385" s="187"/>
      <c r="F1385" s="129"/>
      <c r="G1385" s="187"/>
      <c r="H1385" s="129"/>
      <c r="I1385" s="129"/>
      <c r="J1385" s="129"/>
      <c r="K1385" s="129"/>
      <c r="L1385" s="129"/>
      <c r="M1385" s="129"/>
      <c r="N1385" s="129"/>
      <c r="O1385" s="346"/>
      <c r="P1385" s="347"/>
      <c r="Q1385" s="129"/>
      <c r="R1385" s="129"/>
      <c r="S1385" s="129"/>
      <c r="T1385" s="129"/>
      <c r="U1385" s="129"/>
      <c r="V1385" s="129"/>
      <c r="W1385" s="129"/>
      <c r="X1385" s="129"/>
      <c r="Y1385" s="129"/>
      <c r="Z1385" s="129"/>
      <c r="AA1385" s="129"/>
      <c r="AB1385" s="129"/>
      <c r="AC1385" s="129"/>
      <c r="AD1385" s="129"/>
      <c r="AE1385" s="129"/>
      <c r="AF1385" s="129"/>
      <c r="AG1385" s="129"/>
    </row>
    <row r="1386" spans="1:33" ht="15" customHeight="1">
      <c r="A1386" s="186"/>
      <c r="B1386" s="129"/>
      <c r="C1386" s="187" t="s">
        <v>87</v>
      </c>
      <c r="D1386" s="129"/>
      <c r="E1386" s="187"/>
      <c r="F1386" s="129"/>
      <c r="G1386" s="187"/>
      <c r="H1386" s="129"/>
      <c r="I1386" s="129"/>
      <c r="J1386" s="129"/>
      <c r="K1386" s="129"/>
      <c r="L1386" s="129"/>
      <c r="M1386" s="129"/>
      <c r="N1386" s="129"/>
      <c r="O1386" s="346"/>
      <c r="P1386" s="347"/>
      <c r="Q1386" s="129"/>
      <c r="R1386" s="129"/>
      <c r="S1386" s="129"/>
      <c r="T1386" s="129"/>
      <c r="U1386" s="129"/>
      <c r="V1386" s="129"/>
      <c r="W1386" s="129"/>
      <c r="X1386" s="129"/>
      <c r="Y1386" s="129"/>
      <c r="Z1386" s="129"/>
      <c r="AA1386" s="129"/>
      <c r="AB1386" s="129"/>
      <c r="AC1386" s="129"/>
      <c r="AD1386" s="129"/>
      <c r="AE1386" s="129"/>
      <c r="AF1386" s="129"/>
      <c r="AG1386" s="129"/>
    </row>
    <row r="1387" spans="1:33" ht="14.25" customHeight="1">
      <c r="A1387" s="186"/>
      <c r="B1387" s="191" t="s">
        <v>92</v>
      </c>
      <c r="C1387" s="200">
        <v>1</v>
      </c>
      <c r="D1387" s="261" t="s">
        <v>82</v>
      </c>
      <c r="E1387" s="187"/>
      <c r="F1387" s="129"/>
      <c r="G1387" s="187"/>
      <c r="H1387" s="129"/>
      <c r="I1387" s="129"/>
      <c r="J1387" s="129"/>
      <c r="L1387" s="129"/>
      <c r="M1387" s="129"/>
      <c r="N1387" s="129"/>
      <c r="O1387" s="346"/>
      <c r="P1387" s="347"/>
    </row>
    <row r="1388" spans="1:33" ht="14.25" customHeight="1">
      <c r="A1388" s="190"/>
      <c r="C1388" s="193"/>
      <c r="E1388" s="193"/>
      <c r="G1388" s="193"/>
      <c r="O1388" s="339"/>
      <c r="Q1388" s="129"/>
    </row>
    <row r="1389" spans="1:33" ht="15" customHeight="1">
      <c r="A1389" s="245" t="s">
        <v>1344</v>
      </c>
      <c r="B1389" s="544" t="s">
        <v>959</v>
      </c>
      <c r="C1389" s="544"/>
      <c r="D1389" s="544"/>
      <c r="E1389" s="544"/>
      <c r="F1389" s="544"/>
      <c r="G1389" s="544"/>
      <c r="H1389" s="544"/>
      <c r="I1389" s="544"/>
      <c r="J1389" s="544"/>
      <c r="K1389" s="544"/>
      <c r="L1389" s="544"/>
      <c r="M1389" s="544"/>
      <c r="N1389" s="544"/>
      <c r="O1389" s="252">
        <v>93287</v>
      </c>
      <c r="P1389" s="350"/>
      <c r="Q1389" s="129"/>
      <c r="R1389" s="129"/>
      <c r="S1389" s="129"/>
      <c r="T1389" s="129"/>
      <c r="U1389" s="129"/>
      <c r="V1389" s="129"/>
      <c r="W1389" s="129"/>
      <c r="X1389" s="129"/>
      <c r="Y1389" s="129"/>
      <c r="Z1389" s="129"/>
      <c r="AA1389" s="129"/>
      <c r="AB1389" s="129"/>
      <c r="AC1389" s="129"/>
      <c r="AD1389" s="129"/>
      <c r="AE1389" s="129"/>
      <c r="AF1389" s="129"/>
      <c r="AG1389" s="129"/>
    </row>
    <row r="1390" spans="1:33" ht="15" customHeight="1">
      <c r="A1390" s="186"/>
      <c r="B1390" s="129"/>
      <c r="C1390" s="187"/>
      <c r="D1390" s="129"/>
      <c r="E1390" s="187"/>
      <c r="F1390" s="129"/>
      <c r="G1390" s="187"/>
      <c r="H1390" s="129"/>
      <c r="I1390" s="129"/>
      <c r="J1390" s="129"/>
      <c r="K1390" s="129"/>
      <c r="L1390" s="129"/>
      <c r="M1390" s="129"/>
      <c r="N1390" s="129"/>
      <c r="O1390" s="346"/>
      <c r="P1390" s="347"/>
      <c r="Q1390" s="129"/>
      <c r="R1390" s="129"/>
      <c r="S1390" s="129"/>
      <c r="T1390" s="129"/>
      <c r="U1390" s="129"/>
      <c r="V1390" s="129"/>
      <c r="W1390" s="129"/>
      <c r="X1390" s="129"/>
      <c r="Y1390" s="129"/>
      <c r="Z1390" s="129"/>
      <c r="AA1390" s="129"/>
      <c r="AB1390" s="129"/>
      <c r="AC1390" s="129"/>
      <c r="AD1390" s="129"/>
      <c r="AE1390" s="129"/>
      <c r="AF1390" s="129"/>
      <c r="AG1390" s="129"/>
    </row>
    <row r="1391" spans="1:33" ht="15" customHeight="1">
      <c r="A1391" s="186"/>
      <c r="B1391" s="129"/>
      <c r="C1391" s="187" t="s">
        <v>960</v>
      </c>
      <c r="D1391" s="129"/>
      <c r="E1391" s="187"/>
      <c r="F1391" s="129"/>
      <c r="G1391" s="187"/>
      <c r="H1391" s="129"/>
      <c r="I1391" s="129"/>
      <c r="J1391" s="129"/>
      <c r="K1391" s="129"/>
      <c r="L1391" s="129"/>
      <c r="M1391" s="129"/>
      <c r="N1391" s="129"/>
      <c r="O1391" s="346"/>
      <c r="P1391" s="347"/>
      <c r="Q1391" s="129"/>
      <c r="R1391" s="129"/>
      <c r="S1391" s="129"/>
      <c r="T1391" s="129"/>
      <c r="U1391" s="129"/>
      <c r="V1391" s="129"/>
      <c r="W1391" s="129"/>
      <c r="X1391" s="129"/>
      <c r="Y1391" s="129"/>
      <c r="Z1391" s="129"/>
      <c r="AA1391" s="129"/>
      <c r="AB1391" s="129"/>
      <c r="AC1391" s="129"/>
      <c r="AD1391" s="129"/>
      <c r="AE1391" s="129"/>
      <c r="AF1391" s="129"/>
      <c r="AG1391" s="129"/>
    </row>
    <row r="1392" spans="1:33" ht="14.25" customHeight="1">
      <c r="A1392" s="186"/>
      <c r="B1392" s="191" t="s">
        <v>92</v>
      </c>
      <c r="C1392" s="200">
        <v>9</v>
      </c>
      <c r="D1392" s="261" t="s">
        <v>931</v>
      </c>
      <c r="E1392" s="187"/>
      <c r="F1392" s="129"/>
      <c r="G1392" s="187"/>
      <c r="H1392" s="129"/>
      <c r="I1392" s="129"/>
      <c r="J1392" s="129"/>
      <c r="K1392" s="129"/>
      <c r="L1392" s="129"/>
      <c r="M1392" s="129"/>
      <c r="N1392" s="129"/>
      <c r="O1392" s="346"/>
      <c r="P1392" s="347"/>
    </row>
    <row r="1393" spans="1:33" ht="14.25" customHeight="1">
      <c r="A1393" s="190"/>
      <c r="C1393" s="193"/>
      <c r="E1393" s="193"/>
      <c r="G1393" s="193"/>
      <c r="O1393" s="339"/>
      <c r="Q1393" s="129"/>
    </row>
    <row r="1394" spans="1:33" ht="15" customHeight="1">
      <c r="A1394" s="245" t="s">
        <v>1345</v>
      </c>
      <c r="B1394" s="544" t="s">
        <v>961</v>
      </c>
      <c r="C1394" s="544"/>
      <c r="D1394" s="544"/>
      <c r="E1394" s="544"/>
      <c r="F1394" s="544"/>
      <c r="G1394" s="544"/>
      <c r="H1394" s="544"/>
      <c r="I1394" s="544"/>
      <c r="J1394" s="544"/>
      <c r="K1394" s="544"/>
      <c r="L1394" s="544"/>
      <c r="M1394" s="544"/>
      <c r="N1394" s="544"/>
      <c r="O1394" s="252">
        <v>93288</v>
      </c>
      <c r="P1394" s="350"/>
      <c r="Q1394" s="129"/>
      <c r="R1394" s="129"/>
      <c r="S1394" s="129"/>
      <c r="T1394" s="129"/>
      <c r="U1394" s="129"/>
      <c r="V1394" s="129"/>
      <c r="W1394" s="129"/>
      <c r="X1394" s="129"/>
      <c r="Y1394" s="129"/>
      <c r="Z1394" s="129"/>
      <c r="AA1394" s="129"/>
      <c r="AB1394" s="129"/>
      <c r="AC1394" s="129"/>
      <c r="AD1394" s="129"/>
      <c r="AE1394" s="129"/>
      <c r="AF1394" s="129"/>
      <c r="AG1394" s="129"/>
    </row>
    <row r="1395" spans="1:33" ht="15" customHeight="1">
      <c r="A1395" s="186"/>
      <c r="B1395" s="129"/>
      <c r="C1395" s="187"/>
      <c r="D1395" s="129"/>
      <c r="E1395" s="187"/>
      <c r="F1395" s="129"/>
      <c r="G1395" s="187"/>
      <c r="H1395" s="129"/>
      <c r="I1395" s="129"/>
      <c r="J1395" s="129"/>
      <c r="K1395" s="129"/>
      <c r="L1395" s="129"/>
      <c r="M1395" s="129"/>
      <c r="N1395" s="129"/>
      <c r="O1395" s="346"/>
      <c r="P1395" s="347"/>
      <c r="Q1395" s="129"/>
      <c r="R1395" s="129"/>
      <c r="S1395" s="129"/>
      <c r="T1395" s="129"/>
      <c r="U1395" s="129"/>
      <c r="V1395" s="129"/>
      <c r="W1395" s="129"/>
      <c r="X1395" s="129"/>
      <c r="Y1395" s="129"/>
      <c r="Z1395" s="129"/>
      <c r="AA1395" s="129"/>
      <c r="AB1395" s="129"/>
      <c r="AC1395" s="129"/>
      <c r="AD1395" s="129"/>
      <c r="AE1395" s="129"/>
      <c r="AF1395" s="129"/>
      <c r="AG1395" s="129"/>
    </row>
    <row r="1396" spans="1:33" ht="15" customHeight="1">
      <c r="A1396" s="186"/>
      <c r="B1396" s="129"/>
      <c r="C1396" s="187" t="s">
        <v>960</v>
      </c>
      <c r="D1396" s="129"/>
      <c r="E1396" s="187"/>
      <c r="F1396" s="129"/>
      <c r="G1396" s="187"/>
      <c r="H1396" s="129"/>
      <c r="I1396" s="129"/>
      <c r="J1396" s="129"/>
      <c r="K1396" s="129"/>
      <c r="L1396" s="129"/>
      <c r="M1396" s="129"/>
      <c r="N1396" s="129"/>
      <c r="O1396" s="346"/>
      <c r="P1396" s="347"/>
      <c r="Q1396" s="129"/>
      <c r="R1396" s="129"/>
      <c r="S1396" s="129"/>
      <c r="T1396" s="129"/>
      <c r="U1396" s="129"/>
      <c r="V1396" s="129"/>
      <c r="W1396" s="129"/>
      <c r="X1396" s="129"/>
      <c r="Y1396" s="129"/>
      <c r="Z1396" s="129"/>
      <c r="AA1396" s="129"/>
      <c r="AB1396" s="129"/>
      <c r="AC1396" s="129"/>
      <c r="AD1396" s="129"/>
      <c r="AE1396" s="129"/>
      <c r="AF1396" s="129"/>
      <c r="AG1396" s="129"/>
    </row>
    <row r="1397" spans="1:33" ht="14.25" customHeight="1">
      <c r="A1397" s="186"/>
      <c r="B1397" s="191" t="s">
        <v>92</v>
      </c>
      <c r="C1397" s="200">
        <v>6</v>
      </c>
      <c r="D1397" s="261" t="s">
        <v>932</v>
      </c>
      <c r="E1397" s="187"/>
      <c r="F1397" s="129"/>
      <c r="G1397" s="187"/>
      <c r="H1397" s="129"/>
      <c r="I1397" s="129"/>
      <c r="J1397" s="129"/>
      <c r="K1397" s="129"/>
      <c r="L1397" s="129"/>
      <c r="M1397" s="129"/>
      <c r="N1397" s="129"/>
      <c r="O1397" s="346"/>
      <c r="P1397" s="347"/>
    </row>
    <row r="1398" spans="1:33" ht="14.25" customHeight="1">
      <c r="A1398" s="190"/>
      <c r="C1398" s="193"/>
      <c r="E1398" s="193"/>
      <c r="G1398" s="193"/>
      <c r="O1398" s="339"/>
      <c r="Q1398" s="129"/>
    </row>
    <row r="1399" spans="1:33" s="119" customFormat="1" ht="14.25" customHeight="1">
      <c r="A1399" s="203" t="s">
        <v>165</v>
      </c>
      <c r="B1399" s="557" t="s">
        <v>59</v>
      </c>
      <c r="C1399" s="558"/>
      <c r="D1399" s="558"/>
      <c r="E1399" s="558"/>
      <c r="F1399" s="558"/>
      <c r="G1399" s="558"/>
      <c r="H1399" s="558"/>
      <c r="I1399" s="558"/>
      <c r="J1399" s="558"/>
      <c r="K1399" s="558"/>
      <c r="L1399" s="558"/>
      <c r="M1399" s="558"/>
      <c r="N1399" s="558"/>
      <c r="O1399" s="337"/>
      <c r="P1399" s="338"/>
    </row>
    <row r="1400" spans="1:33" s="119" customFormat="1" ht="14.25" customHeight="1">
      <c r="A1400" s="195"/>
      <c r="B1400" s="326"/>
      <c r="C1400" s="196"/>
      <c r="D1400" s="196"/>
      <c r="E1400" s="196"/>
      <c r="F1400" s="196"/>
      <c r="G1400" s="196"/>
      <c r="H1400" s="196"/>
      <c r="I1400" s="196"/>
      <c r="J1400" s="196"/>
      <c r="K1400" s="196"/>
      <c r="L1400" s="196"/>
      <c r="M1400" s="196"/>
      <c r="N1400" s="196"/>
      <c r="O1400" s="337"/>
      <c r="P1400" s="338"/>
    </row>
    <row r="1401" spans="1:33">
      <c r="A1401" s="245" t="s">
        <v>603</v>
      </c>
      <c r="B1401" s="544" t="s">
        <v>604</v>
      </c>
      <c r="C1401" s="550"/>
      <c r="D1401" s="550"/>
      <c r="E1401" s="550"/>
      <c r="F1401" s="550"/>
      <c r="G1401" s="550"/>
      <c r="H1401" s="550"/>
      <c r="I1401" s="550"/>
      <c r="J1401" s="550"/>
      <c r="K1401" s="550"/>
      <c r="L1401" s="550"/>
      <c r="M1401" s="550"/>
      <c r="N1401" s="550"/>
      <c r="O1401" s="252">
        <v>89711</v>
      </c>
      <c r="P1401" s="350"/>
    </row>
    <row r="1402" spans="1:33" ht="14.25" customHeight="1">
      <c r="A1402" s="190"/>
      <c r="C1402" s="193"/>
      <c r="E1402" s="193"/>
      <c r="G1402" s="193"/>
      <c r="O1402" s="339"/>
    </row>
    <row r="1403" spans="1:33" ht="14.25" customHeight="1">
      <c r="A1403" s="190"/>
      <c r="C1403" s="193" t="s">
        <v>75</v>
      </c>
      <c r="E1403" s="193"/>
      <c r="G1403" s="193"/>
      <c r="O1403" s="339"/>
    </row>
    <row r="1404" spans="1:33" ht="14.25" customHeight="1">
      <c r="A1404" s="190"/>
      <c r="B1404" s="191" t="s">
        <v>136</v>
      </c>
      <c r="C1404" s="192">
        <v>69.59</v>
      </c>
      <c r="D1404" s="191" t="s">
        <v>50</v>
      </c>
      <c r="E1404" s="193"/>
      <c r="G1404" s="193"/>
      <c r="O1404" s="339"/>
    </row>
    <row r="1405" spans="1:33" ht="14.25">
      <c r="A1405" s="190"/>
      <c r="C1405" s="193"/>
      <c r="E1405" s="193"/>
      <c r="G1405" s="193"/>
      <c r="O1405" s="339"/>
    </row>
    <row r="1406" spans="1:33">
      <c r="A1406" s="245" t="s">
        <v>605</v>
      </c>
      <c r="B1406" s="544" t="s">
        <v>606</v>
      </c>
      <c r="C1406" s="550"/>
      <c r="D1406" s="550"/>
      <c r="E1406" s="550"/>
      <c r="F1406" s="550"/>
      <c r="G1406" s="550"/>
      <c r="H1406" s="550"/>
      <c r="I1406" s="550"/>
      <c r="J1406" s="550"/>
      <c r="K1406" s="550"/>
      <c r="L1406" s="550"/>
      <c r="M1406" s="550"/>
      <c r="N1406" s="550"/>
      <c r="O1406" s="252">
        <v>89712</v>
      </c>
      <c r="P1406" s="350"/>
    </row>
    <row r="1407" spans="1:33" ht="14.25" customHeight="1">
      <c r="A1407" s="190"/>
      <c r="C1407" s="193"/>
      <c r="E1407" s="193"/>
      <c r="G1407" s="193"/>
      <c r="O1407" s="339"/>
    </row>
    <row r="1408" spans="1:33" ht="14.25" customHeight="1">
      <c r="A1408" s="190"/>
      <c r="C1408" s="193" t="s">
        <v>75</v>
      </c>
      <c r="E1408" s="193"/>
      <c r="G1408" s="193"/>
      <c r="O1408" s="339"/>
    </row>
    <row r="1409" spans="1:16" ht="14.25" customHeight="1">
      <c r="A1409" s="190"/>
      <c r="B1409" s="191" t="s">
        <v>136</v>
      </c>
      <c r="C1409" s="192">
        <v>137.36000000000001</v>
      </c>
      <c r="D1409" s="191" t="s">
        <v>50</v>
      </c>
      <c r="E1409" s="193"/>
      <c r="G1409" s="193"/>
      <c r="O1409" s="339"/>
    </row>
    <row r="1410" spans="1:16" ht="14.25">
      <c r="A1410" s="190"/>
      <c r="C1410" s="193"/>
      <c r="E1410" s="193"/>
      <c r="G1410" s="193"/>
      <c r="O1410" s="339"/>
    </row>
    <row r="1411" spans="1:16">
      <c r="A1411" s="245" t="s">
        <v>607</v>
      </c>
      <c r="B1411" s="544" t="s">
        <v>608</v>
      </c>
      <c r="C1411" s="550"/>
      <c r="D1411" s="550"/>
      <c r="E1411" s="550"/>
      <c r="F1411" s="550"/>
      <c r="G1411" s="550"/>
      <c r="H1411" s="550"/>
      <c r="I1411" s="550"/>
      <c r="J1411" s="550"/>
      <c r="K1411" s="550"/>
      <c r="L1411" s="550"/>
      <c r="M1411" s="550"/>
      <c r="N1411" s="550"/>
      <c r="O1411" s="252">
        <v>89713</v>
      </c>
      <c r="P1411" s="350"/>
    </row>
    <row r="1412" spans="1:16" ht="14.25" customHeight="1">
      <c r="A1412" s="190"/>
      <c r="C1412" s="193"/>
      <c r="E1412" s="193"/>
      <c r="G1412" s="193"/>
      <c r="O1412" s="339"/>
    </row>
    <row r="1413" spans="1:16" ht="14.25" customHeight="1">
      <c r="A1413" s="190"/>
      <c r="C1413" s="193" t="s">
        <v>75</v>
      </c>
      <c r="E1413" s="193"/>
      <c r="G1413" s="193"/>
      <c r="O1413" s="339"/>
    </row>
    <row r="1414" spans="1:16" ht="14.25" customHeight="1">
      <c r="A1414" s="190"/>
      <c r="B1414" s="191" t="s">
        <v>136</v>
      </c>
      <c r="C1414" s="192">
        <v>94.47</v>
      </c>
      <c r="D1414" s="191" t="s">
        <v>50</v>
      </c>
      <c r="E1414" s="193"/>
      <c r="G1414" s="193"/>
      <c r="O1414" s="339"/>
    </row>
    <row r="1415" spans="1:16" ht="14.25">
      <c r="A1415" s="190"/>
      <c r="C1415" s="193"/>
      <c r="E1415" s="193"/>
      <c r="G1415" s="193"/>
      <c r="O1415" s="339"/>
    </row>
    <row r="1416" spans="1:16">
      <c r="A1416" s="245" t="s">
        <v>609</v>
      </c>
      <c r="B1416" s="544" t="s">
        <v>610</v>
      </c>
      <c r="C1416" s="550"/>
      <c r="D1416" s="550"/>
      <c r="E1416" s="550"/>
      <c r="F1416" s="550"/>
      <c r="G1416" s="550"/>
      <c r="H1416" s="550"/>
      <c r="I1416" s="550"/>
      <c r="J1416" s="550"/>
      <c r="K1416" s="550"/>
      <c r="L1416" s="550"/>
      <c r="M1416" s="550"/>
      <c r="N1416" s="550"/>
      <c r="O1416" s="252">
        <v>89714</v>
      </c>
      <c r="P1416" s="350"/>
    </row>
    <row r="1417" spans="1:16" ht="14.25" customHeight="1">
      <c r="A1417" s="190"/>
      <c r="C1417" s="193"/>
      <c r="E1417" s="193"/>
      <c r="G1417" s="193"/>
      <c r="O1417" s="339"/>
    </row>
    <row r="1418" spans="1:16" ht="14.25" customHeight="1">
      <c r="A1418" s="190"/>
      <c r="C1418" s="193" t="s">
        <v>75</v>
      </c>
      <c r="E1418" s="193"/>
      <c r="G1418" s="193"/>
      <c r="O1418" s="339"/>
    </row>
    <row r="1419" spans="1:16" ht="14.25" customHeight="1">
      <c r="A1419" s="190"/>
      <c r="B1419" s="191" t="s">
        <v>136</v>
      </c>
      <c r="C1419" s="192">
        <v>160.75</v>
      </c>
      <c r="D1419" s="191" t="s">
        <v>50</v>
      </c>
      <c r="E1419" s="193"/>
      <c r="G1419" s="193"/>
      <c r="O1419" s="339"/>
    </row>
    <row r="1420" spans="1:16" ht="14.25">
      <c r="A1420" s="190"/>
      <c r="C1420" s="193"/>
      <c r="E1420" s="193"/>
      <c r="G1420" s="193"/>
      <c r="O1420" s="339"/>
    </row>
    <row r="1421" spans="1:16" ht="30" customHeight="1">
      <c r="A1421" s="245" t="s">
        <v>1394</v>
      </c>
      <c r="B1421" s="544" t="s">
        <v>1106</v>
      </c>
      <c r="C1421" s="550"/>
      <c r="D1421" s="550"/>
      <c r="E1421" s="550"/>
      <c r="F1421" s="550"/>
      <c r="G1421" s="550"/>
      <c r="H1421" s="550"/>
      <c r="I1421" s="550"/>
      <c r="J1421" s="550"/>
      <c r="K1421" s="550"/>
      <c r="L1421" s="550"/>
      <c r="M1421" s="550"/>
      <c r="N1421" s="550"/>
      <c r="O1421" s="252">
        <v>104341</v>
      </c>
      <c r="P1421" s="350"/>
    </row>
    <row r="1422" spans="1:16" ht="14.25" customHeight="1">
      <c r="A1422" s="190"/>
      <c r="C1422" s="193"/>
      <c r="E1422" s="193"/>
      <c r="G1422" s="193"/>
      <c r="O1422" s="339"/>
    </row>
    <row r="1423" spans="1:16" ht="14.25" customHeight="1">
      <c r="A1423" s="190"/>
      <c r="C1423" s="193" t="s">
        <v>87</v>
      </c>
      <c r="E1423" s="193"/>
      <c r="G1423" s="193"/>
      <c r="O1423" s="339"/>
    </row>
    <row r="1424" spans="1:16" ht="14.25" customHeight="1">
      <c r="A1424" s="190"/>
      <c r="B1424" s="191" t="s">
        <v>136</v>
      </c>
      <c r="C1424" s="192">
        <v>4</v>
      </c>
      <c r="D1424" s="191" t="s">
        <v>82</v>
      </c>
      <c r="E1424" s="193"/>
      <c r="G1424" s="193"/>
      <c r="O1424" s="339"/>
    </row>
    <row r="1425" spans="1:16" ht="14.25" customHeight="1">
      <c r="A1425" s="190"/>
      <c r="C1425" s="193"/>
      <c r="E1425" s="193"/>
      <c r="G1425" s="193"/>
      <c r="O1425" s="339"/>
    </row>
    <row r="1426" spans="1:16">
      <c r="A1426" s="245" t="s">
        <v>611</v>
      </c>
      <c r="B1426" s="544" t="s">
        <v>614</v>
      </c>
      <c r="C1426" s="550"/>
      <c r="D1426" s="550"/>
      <c r="E1426" s="550"/>
      <c r="F1426" s="550"/>
      <c r="G1426" s="550"/>
      <c r="H1426" s="550"/>
      <c r="I1426" s="550"/>
      <c r="J1426" s="550"/>
      <c r="K1426" s="550"/>
      <c r="L1426" s="550"/>
      <c r="M1426" s="550"/>
      <c r="N1426" s="550"/>
      <c r="O1426" s="252">
        <v>89726</v>
      </c>
      <c r="P1426" s="350"/>
    </row>
    <row r="1427" spans="1:16" ht="14.25" customHeight="1">
      <c r="A1427" s="190"/>
      <c r="C1427" s="193"/>
      <c r="E1427" s="193"/>
      <c r="G1427" s="193"/>
      <c r="O1427" s="339"/>
    </row>
    <row r="1428" spans="1:16" ht="14.25" customHeight="1">
      <c r="A1428" s="190"/>
      <c r="C1428" s="193" t="s">
        <v>87</v>
      </c>
      <c r="E1428" s="193"/>
      <c r="G1428" s="193"/>
      <c r="O1428" s="339"/>
    </row>
    <row r="1429" spans="1:16" ht="14.25" customHeight="1">
      <c r="A1429" s="190"/>
      <c r="B1429" s="191" t="s">
        <v>92</v>
      </c>
      <c r="C1429" s="192">
        <v>43</v>
      </c>
      <c r="D1429" s="191" t="s">
        <v>82</v>
      </c>
      <c r="E1429" s="193"/>
      <c r="G1429" s="193"/>
      <c r="O1429" s="339"/>
    </row>
    <row r="1430" spans="1:16" ht="14.25">
      <c r="A1430" s="190"/>
      <c r="C1430" s="193"/>
      <c r="E1430" s="193"/>
      <c r="G1430" s="193"/>
      <c r="O1430" s="339"/>
    </row>
    <row r="1431" spans="1:16">
      <c r="A1431" s="245" t="s">
        <v>612</v>
      </c>
      <c r="B1431" s="544" t="s">
        <v>616</v>
      </c>
      <c r="C1431" s="550"/>
      <c r="D1431" s="550"/>
      <c r="E1431" s="550"/>
      <c r="F1431" s="550"/>
      <c r="G1431" s="550"/>
      <c r="H1431" s="550"/>
      <c r="I1431" s="550"/>
      <c r="J1431" s="550"/>
      <c r="K1431" s="550"/>
      <c r="L1431" s="550"/>
      <c r="M1431" s="550"/>
      <c r="N1431" s="550"/>
      <c r="O1431" s="252">
        <v>89732</v>
      </c>
      <c r="P1431" s="350"/>
    </row>
    <row r="1432" spans="1:16" ht="14.25" customHeight="1">
      <c r="A1432" s="190"/>
      <c r="C1432" s="193"/>
      <c r="E1432" s="193"/>
      <c r="G1432" s="193"/>
      <c r="O1432" s="339"/>
    </row>
    <row r="1433" spans="1:16" ht="14.25" customHeight="1">
      <c r="A1433" s="190"/>
      <c r="C1433" s="193" t="s">
        <v>87</v>
      </c>
      <c r="E1433" s="193"/>
      <c r="G1433" s="193"/>
      <c r="O1433" s="339"/>
    </row>
    <row r="1434" spans="1:16" ht="14.25" customHeight="1">
      <c r="A1434" s="190"/>
      <c r="B1434" s="191" t="s">
        <v>92</v>
      </c>
      <c r="C1434" s="192">
        <v>21</v>
      </c>
      <c r="D1434" s="191" t="s">
        <v>82</v>
      </c>
      <c r="E1434" s="193"/>
      <c r="G1434" s="193"/>
      <c r="O1434" s="339"/>
    </row>
    <row r="1435" spans="1:16" ht="14.25" customHeight="1">
      <c r="A1435" s="190"/>
      <c r="C1435" s="193"/>
      <c r="E1435" s="193"/>
      <c r="G1435" s="193"/>
      <c r="O1435" s="339"/>
    </row>
    <row r="1436" spans="1:16">
      <c r="A1436" s="245" t="s">
        <v>613</v>
      </c>
      <c r="B1436" s="544" t="s">
        <v>618</v>
      </c>
      <c r="C1436" s="550"/>
      <c r="D1436" s="550"/>
      <c r="E1436" s="550"/>
      <c r="F1436" s="550"/>
      <c r="G1436" s="550"/>
      <c r="H1436" s="550"/>
      <c r="I1436" s="550"/>
      <c r="J1436" s="550"/>
      <c r="K1436" s="550"/>
      <c r="L1436" s="550"/>
      <c r="M1436" s="550"/>
      <c r="N1436" s="550"/>
      <c r="O1436" s="252">
        <v>89739</v>
      </c>
      <c r="P1436" s="350"/>
    </row>
    <row r="1437" spans="1:16" ht="14.25" customHeight="1">
      <c r="A1437" s="190"/>
      <c r="C1437" s="193"/>
      <c r="E1437" s="193"/>
      <c r="G1437" s="193"/>
      <c r="O1437" s="339"/>
    </row>
    <row r="1438" spans="1:16" ht="14.25" customHeight="1">
      <c r="A1438" s="190"/>
      <c r="C1438" s="193" t="s">
        <v>87</v>
      </c>
      <c r="E1438" s="193"/>
      <c r="G1438" s="193"/>
      <c r="O1438" s="339"/>
    </row>
    <row r="1439" spans="1:16" ht="14.25" customHeight="1">
      <c r="A1439" s="190"/>
      <c r="B1439" s="191" t="s">
        <v>92</v>
      </c>
      <c r="C1439" s="192">
        <v>10</v>
      </c>
      <c r="D1439" s="191" t="s">
        <v>82</v>
      </c>
      <c r="E1439" s="193"/>
      <c r="G1439" s="193"/>
      <c r="O1439" s="339"/>
    </row>
    <row r="1440" spans="1:16" ht="14.25">
      <c r="A1440" s="190"/>
      <c r="C1440" s="193"/>
      <c r="E1440" s="193"/>
      <c r="G1440" s="193"/>
      <c r="O1440" s="339"/>
    </row>
    <row r="1441" spans="1:16">
      <c r="A1441" s="245" t="s">
        <v>615</v>
      </c>
      <c r="B1441" s="544" t="s">
        <v>620</v>
      </c>
      <c r="C1441" s="550"/>
      <c r="D1441" s="550"/>
      <c r="E1441" s="550"/>
      <c r="F1441" s="550"/>
      <c r="G1441" s="550"/>
      <c r="H1441" s="550"/>
      <c r="I1441" s="550"/>
      <c r="J1441" s="550"/>
      <c r="K1441" s="550"/>
      <c r="L1441" s="550"/>
      <c r="M1441" s="550"/>
      <c r="N1441" s="550"/>
      <c r="O1441" s="252">
        <v>89746</v>
      </c>
      <c r="P1441" s="350"/>
    </row>
    <row r="1442" spans="1:16" ht="14.25" customHeight="1">
      <c r="A1442" s="190"/>
      <c r="C1442" s="193"/>
      <c r="E1442" s="193"/>
      <c r="G1442" s="193"/>
      <c r="O1442" s="339"/>
    </row>
    <row r="1443" spans="1:16" ht="14.25" customHeight="1">
      <c r="A1443" s="190"/>
      <c r="C1443" s="193" t="s">
        <v>87</v>
      </c>
      <c r="E1443" s="193"/>
      <c r="G1443" s="193"/>
      <c r="O1443" s="339"/>
    </row>
    <row r="1444" spans="1:16" ht="14.25" customHeight="1">
      <c r="A1444" s="190"/>
      <c r="B1444" s="191" t="s">
        <v>92</v>
      </c>
      <c r="C1444" s="192">
        <v>10</v>
      </c>
      <c r="D1444" s="191" t="s">
        <v>82</v>
      </c>
      <c r="E1444" s="193"/>
      <c r="G1444" s="193"/>
      <c r="O1444" s="339"/>
    </row>
    <row r="1445" spans="1:16" ht="14.25">
      <c r="A1445" s="190"/>
      <c r="C1445" s="193"/>
      <c r="E1445" s="193"/>
      <c r="G1445" s="193"/>
      <c r="O1445" s="339"/>
    </row>
    <row r="1446" spans="1:16">
      <c r="A1446" s="245" t="s">
        <v>617</v>
      </c>
      <c r="B1446" s="544" t="s">
        <v>622</v>
      </c>
      <c r="C1446" s="550"/>
      <c r="D1446" s="550"/>
      <c r="E1446" s="550"/>
      <c r="F1446" s="550"/>
      <c r="G1446" s="550"/>
      <c r="H1446" s="550"/>
      <c r="I1446" s="550"/>
      <c r="J1446" s="550"/>
      <c r="K1446" s="550"/>
      <c r="L1446" s="550"/>
      <c r="M1446" s="550"/>
      <c r="N1446" s="550"/>
      <c r="O1446" s="252">
        <v>89724</v>
      </c>
      <c r="P1446" s="350"/>
    </row>
    <row r="1447" spans="1:16" ht="14.25" customHeight="1">
      <c r="A1447" s="190"/>
      <c r="C1447" s="193"/>
      <c r="E1447" s="193"/>
      <c r="G1447" s="193"/>
      <c r="O1447" s="339"/>
    </row>
    <row r="1448" spans="1:16" ht="14.25" customHeight="1">
      <c r="A1448" s="190"/>
      <c r="C1448" s="193" t="s">
        <v>87</v>
      </c>
      <c r="E1448" s="193"/>
      <c r="G1448" s="193"/>
      <c r="O1448" s="339"/>
    </row>
    <row r="1449" spans="1:16" ht="14.25" customHeight="1">
      <c r="A1449" s="190"/>
      <c r="B1449" s="191" t="s">
        <v>92</v>
      </c>
      <c r="C1449" s="192">
        <v>59</v>
      </c>
      <c r="D1449" s="191" t="s">
        <v>82</v>
      </c>
      <c r="E1449" s="193"/>
      <c r="G1449" s="193"/>
      <c r="O1449" s="339"/>
    </row>
    <row r="1450" spans="1:16" ht="14.25">
      <c r="A1450" s="190"/>
      <c r="C1450" s="193"/>
      <c r="E1450" s="193"/>
      <c r="G1450" s="193"/>
      <c r="O1450" s="339"/>
    </row>
    <row r="1451" spans="1:16">
      <c r="A1451" s="245" t="s">
        <v>619</v>
      </c>
      <c r="B1451" s="544" t="s">
        <v>624</v>
      </c>
      <c r="C1451" s="550"/>
      <c r="D1451" s="550"/>
      <c r="E1451" s="550"/>
      <c r="F1451" s="550"/>
      <c r="G1451" s="550"/>
      <c r="H1451" s="550"/>
      <c r="I1451" s="550"/>
      <c r="J1451" s="550"/>
      <c r="K1451" s="550"/>
      <c r="L1451" s="550"/>
      <c r="M1451" s="550"/>
      <c r="N1451" s="550"/>
      <c r="O1451" s="252">
        <v>89731</v>
      </c>
      <c r="P1451" s="350"/>
    </row>
    <row r="1452" spans="1:16" ht="14.25" customHeight="1">
      <c r="A1452" s="190"/>
      <c r="C1452" s="193"/>
      <c r="E1452" s="193"/>
      <c r="G1452" s="193"/>
      <c r="O1452" s="339"/>
    </row>
    <row r="1453" spans="1:16" ht="14.25" customHeight="1">
      <c r="A1453" s="190"/>
      <c r="C1453" s="193" t="s">
        <v>87</v>
      </c>
      <c r="E1453" s="193"/>
      <c r="G1453" s="193"/>
      <c r="O1453" s="339"/>
    </row>
    <row r="1454" spans="1:16" ht="14.25" customHeight="1">
      <c r="A1454" s="190"/>
      <c r="B1454" s="191" t="s">
        <v>92</v>
      </c>
      <c r="C1454" s="192">
        <v>40</v>
      </c>
      <c r="D1454" s="191" t="s">
        <v>82</v>
      </c>
      <c r="E1454" s="193"/>
      <c r="G1454" s="193"/>
      <c r="O1454" s="339"/>
    </row>
    <row r="1455" spans="1:16" ht="14.25">
      <c r="A1455" s="190"/>
      <c r="C1455" s="193"/>
      <c r="E1455" s="193"/>
      <c r="G1455" s="193"/>
      <c r="O1455" s="339"/>
    </row>
    <row r="1456" spans="1:16">
      <c r="A1456" s="245" t="s">
        <v>621</v>
      </c>
      <c r="B1456" s="544" t="s">
        <v>626</v>
      </c>
      <c r="C1456" s="550"/>
      <c r="D1456" s="550"/>
      <c r="E1456" s="550"/>
      <c r="F1456" s="550"/>
      <c r="G1456" s="550"/>
      <c r="H1456" s="550"/>
      <c r="I1456" s="550"/>
      <c r="J1456" s="550"/>
      <c r="K1456" s="550"/>
      <c r="L1456" s="550"/>
      <c r="M1456" s="550"/>
      <c r="N1456" s="550"/>
      <c r="O1456" s="252">
        <v>89737</v>
      </c>
      <c r="P1456" s="350"/>
    </row>
    <row r="1457" spans="1:18" ht="14.25" customHeight="1">
      <c r="A1457" s="190"/>
      <c r="C1457" s="193"/>
      <c r="E1457" s="193"/>
      <c r="G1457" s="193"/>
      <c r="O1457" s="379"/>
    </row>
    <row r="1458" spans="1:18" ht="14.25">
      <c r="A1458" s="190"/>
      <c r="C1458" s="193" t="s">
        <v>87</v>
      </c>
      <c r="E1458" s="193"/>
      <c r="G1458" s="193"/>
      <c r="O1458" s="339"/>
    </row>
    <row r="1459" spans="1:18">
      <c r="A1459" s="190"/>
      <c r="B1459" s="191" t="s">
        <v>92</v>
      </c>
      <c r="C1459" s="192">
        <v>20</v>
      </c>
      <c r="D1459" s="191" t="s">
        <v>82</v>
      </c>
      <c r="E1459" s="193"/>
      <c r="G1459" s="193"/>
      <c r="O1459" s="379"/>
    </row>
    <row r="1460" spans="1:18" ht="14.25">
      <c r="A1460" s="190"/>
      <c r="C1460" s="193"/>
      <c r="E1460" s="193"/>
      <c r="G1460" s="193"/>
      <c r="O1460" s="379"/>
    </row>
    <row r="1461" spans="1:18">
      <c r="A1461" s="245" t="s">
        <v>623</v>
      </c>
      <c r="B1461" s="544" t="s">
        <v>628</v>
      </c>
      <c r="C1461" s="550"/>
      <c r="D1461" s="550"/>
      <c r="E1461" s="550"/>
      <c r="F1461" s="550"/>
      <c r="G1461" s="550"/>
      <c r="H1461" s="550"/>
      <c r="I1461" s="550"/>
      <c r="J1461" s="550"/>
      <c r="K1461" s="550"/>
      <c r="L1461" s="550"/>
      <c r="M1461" s="550"/>
      <c r="N1461" s="550"/>
      <c r="O1461" s="252">
        <v>89744</v>
      </c>
      <c r="P1461" s="350"/>
    </row>
    <row r="1462" spans="1:18" ht="14.25" customHeight="1">
      <c r="A1462" s="190"/>
      <c r="C1462" s="193"/>
      <c r="E1462" s="193"/>
      <c r="G1462" s="193"/>
      <c r="O1462" s="379"/>
    </row>
    <row r="1463" spans="1:18" ht="14.25">
      <c r="A1463" s="190"/>
      <c r="C1463" s="193" t="s">
        <v>87</v>
      </c>
      <c r="E1463" s="193"/>
      <c r="G1463" s="193"/>
      <c r="O1463" s="339"/>
    </row>
    <row r="1464" spans="1:18">
      <c r="A1464" s="190"/>
      <c r="B1464" s="191" t="s">
        <v>92</v>
      </c>
      <c r="C1464" s="192">
        <v>23</v>
      </c>
      <c r="D1464" s="191" t="s">
        <v>82</v>
      </c>
      <c r="E1464" s="193"/>
      <c r="G1464" s="193"/>
      <c r="O1464" s="379"/>
    </row>
    <row r="1465" spans="1:18" ht="14.25">
      <c r="A1465" s="190"/>
      <c r="C1465" s="193"/>
      <c r="E1465" s="193"/>
      <c r="G1465" s="193"/>
      <c r="O1465" s="379"/>
    </row>
    <row r="1466" spans="1:18">
      <c r="A1466" s="247" t="s">
        <v>625</v>
      </c>
      <c r="B1466" s="555" t="s">
        <v>630</v>
      </c>
      <c r="C1466" s="555"/>
      <c r="D1466" s="555"/>
      <c r="E1466" s="555"/>
      <c r="F1466" s="555"/>
      <c r="G1466" s="555"/>
      <c r="H1466" s="555"/>
      <c r="I1466" s="555"/>
      <c r="J1466" s="555"/>
      <c r="K1466" s="555"/>
      <c r="L1466" s="555"/>
      <c r="M1466" s="555"/>
      <c r="N1466" s="555"/>
      <c r="O1466" s="367" t="s">
        <v>1105</v>
      </c>
      <c r="P1466" s="361" t="s">
        <v>74</v>
      </c>
    </row>
    <row r="1467" spans="1:18" ht="14.25" customHeight="1">
      <c r="A1467" s="190"/>
      <c r="C1467" s="193"/>
      <c r="E1467" s="193"/>
      <c r="G1467" s="193"/>
      <c r="O1467" s="379"/>
    </row>
    <row r="1468" spans="1:18" ht="14.25">
      <c r="A1468" s="190"/>
      <c r="C1468" s="193" t="s">
        <v>87</v>
      </c>
      <c r="E1468" s="193"/>
      <c r="G1468" s="193"/>
      <c r="O1468" s="339"/>
    </row>
    <row r="1469" spans="1:18">
      <c r="A1469" s="190"/>
      <c r="B1469" s="191" t="s">
        <v>92</v>
      </c>
      <c r="C1469" s="192">
        <v>1</v>
      </c>
      <c r="D1469" s="191" t="s">
        <v>82</v>
      </c>
      <c r="E1469" s="192"/>
      <c r="G1469" s="193"/>
      <c r="O1469" s="379"/>
    </row>
    <row r="1470" spans="1:18" ht="14.25" customHeight="1">
      <c r="A1470" s="190"/>
      <c r="C1470" s="193"/>
      <c r="E1470" s="193"/>
      <c r="G1470" s="193"/>
      <c r="O1470" s="379"/>
      <c r="Q1470" s="129"/>
      <c r="R1470" s="129"/>
    </row>
    <row r="1471" spans="1:18">
      <c r="A1471" s="247" t="s">
        <v>627</v>
      </c>
      <c r="B1471" s="555" t="s">
        <v>632</v>
      </c>
      <c r="C1471" s="555"/>
      <c r="D1471" s="555"/>
      <c r="E1471" s="555"/>
      <c r="F1471" s="555"/>
      <c r="G1471" s="555"/>
      <c r="H1471" s="555"/>
      <c r="I1471" s="555"/>
      <c r="J1471" s="555"/>
      <c r="K1471" s="555"/>
      <c r="L1471" s="555"/>
      <c r="M1471" s="555"/>
      <c r="N1471" s="555"/>
      <c r="O1471" s="367">
        <v>89785</v>
      </c>
      <c r="P1471" s="361"/>
    </row>
    <row r="1472" spans="1:18" ht="14.25" customHeight="1">
      <c r="A1472" s="190"/>
      <c r="C1472" s="193"/>
      <c r="E1472" s="193"/>
      <c r="G1472" s="193"/>
      <c r="O1472" s="379"/>
    </row>
    <row r="1473" spans="1:18" ht="14.25">
      <c r="A1473" s="190"/>
      <c r="C1473" s="193" t="s">
        <v>87</v>
      </c>
      <c r="E1473" s="193"/>
      <c r="G1473" s="193"/>
      <c r="O1473" s="339"/>
    </row>
    <row r="1474" spans="1:18">
      <c r="A1474" s="190"/>
      <c r="B1474" s="191" t="s">
        <v>92</v>
      </c>
      <c r="C1474" s="192">
        <v>4</v>
      </c>
      <c r="D1474" s="191" t="s">
        <v>82</v>
      </c>
      <c r="E1474" s="192"/>
      <c r="G1474" s="193"/>
      <c r="O1474" s="379"/>
    </row>
    <row r="1475" spans="1:18" ht="14.25" customHeight="1">
      <c r="A1475" s="190"/>
      <c r="C1475" s="193"/>
      <c r="E1475" s="193"/>
      <c r="G1475" s="193"/>
      <c r="O1475" s="379"/>
      <c r="Q1475" s="129"/>
      <c r="R1475" s="129"/>
    </row>
    <row r="1476" spans="1:18" ht="28.5" customHeight="1">
      <c r="A1476" s="247" t="s">
        <v>629</v>
      </c>
      <c r="B1476" s="544" t="s">
        <v>1104</v>
      </c>
      <c r="C1476" s="550"/>
      <c r="D1476" s="550"/>
      <c r="E1476" s="550"/>
      <c r="F1476" s="550"/>
      <c r="G1476" s="550"/>
      <c r="H1476" s="550"/>
      <c r="I1476" s="550"/>
      <c r="J1476" s="550"/>
      <c r="K1476" s="550"/>
      <c r="L1476" s="550"/>
      <c r="M1476" s="550"/>
      <c r="N1476" s="550"/>
      <c r="O1476" s="252">
        <v>104343</v>
      </c>
      <c r="P1476" s="350"/>
    </row>
    <row r="1477" spans="1:18" ht="14.25" customHeight="1">
      <c r="A1477" s="190"/>
      <c r="C1477" s="193"/>
      <c r="E1477" s="193"/>
      <c r="G1477" s="193"/>
      <c r="O1477" s="339"/>
    </row>
    <row r="1478" spans="1:18" ht="14.25" customHeight="1">
      <c r="A1478" s="190"/>
      <c r="C1478" s="193" t="s">
        <v>87</v>
      </c>
      <c r="E1478" s="193"/>
      <c r="G1478" s="193"/>
      <c r="O1478" s="339"/>
    </row>
    <row r="1479" spans="1:18" ht="14.25" customHeight="1">
      <c r="A1479" s="190"/>
      <c r="B1479" s="191" t="s">
        <v>92</v>
      </c>
      <c r="C1479" s="192">
        <f>4+7</f>
        <v>11</v>
      </c>
      <c r="D1479" s="191" t="s">
        <v>82</v>
      </c>
      <c r="E1479" s="193"/>
      <c r="O1479" s="339"/>
    </row>
    <row r="1480" spans="1:18" ht="14.25">
      <c r="A1480" s="190"/>
      <c r="C1480" s="193"/>
      <c r="E1480" s="193"/>
      <c r="G1480" s="193"/>
      <c r="O1480" s="339"/>
    </row>
    <row r="1481" spans="1:18">
      <c r="A1481" s="245" t="s">
        <v>631</v>
      </c>
      <c r="B1481" s="555" t="s">
        <v>1029</v>
      </c>
      <c r="C1481" s="555"/>
      <c r="D1481" s="555"/>
      <c r="E1481" s="555"/>
      <c r="F1481" s="555"/>
      <c r="G1481" s="555"/>
      <c r="H1481" s="555"/>
      <c r="I1481" s="555"/>
      <c r="J1481" s="555"/>
      <c r="K1481" s="555"/>
      <c r="L1481" s="555"/>
      <c r="M1481" s="555"/>
      <c r="N1481" s="555"/>
      <c r="O1481" s="367" t="s">
        <v>1030</v>
      </c>
      <c r="P1481" s="361" t="s">
        <v>74</v>
      </c>
    </row>
    <row r="1482" spans="1:18" ht="14.25" customHeight="1">
      <c r="A1482" s="190"/>
      <c r="C1482" s="193"/>
      <c r="E1482" s="193"/>
      <c r="G1482" s="193"/>
      <c r="O1482" s="379"/>
    </row>
    <row r="1483" spans="1:18" ht="14.25">
      <c r="A1483" s="190"/>
      <c r="C1483" s="193" t="s">
        <v>87</v>
      </c>
      <c r="E1483" s="193"/>
      <c r="G1483" s="193"/>
      <c r="O1483" s="339"/>
    </row>
    <row r="1484" spans="1:18">
      <c r="A1484" s="190"/>
      <c r="B1484" s="191" t="s">
        <v>92</v>
      </c>
      <c r="C1484" s="192">
        <v>11</v>
      </c>
      <c r="D1484" s="191" t="s">
        <v>82</v>
      </c>
      <c r="E1484" s="193"/>
      <c r="G1484" s="193"/>
      <c r="O1484" s="379"/>
    </row>
    <row r="1485" spans="1:18" ht="14.25">
      <c r="A1485" s="190"/>
      <c r="C1485" s="193"/>
      <c r="E1485" s="193"/>
      <c r="G1485" s="193"/>
      <c r="O1485" s="379"/>
    </row>
    <row r="1486" spans="1:18">
      <c r="A1486" s="247" t="s">
        <v>633</v>
      </c>
      <c r="B1486" s="555" t="s">
        <v>1103</v>
      </c>
      <c r="C1486" s="555"/>
      <c r="D1486" s="555"/>
      <c r="E1486" s="555"/>
      <c r="F1486" s="555"/>
      <c r="G1486" s="555"/>
      <c r="H1486" s="555"/>
      <c r="I1486" s="555"/>
      <c r="J1486" s="555"/>
      <c r="K1486" s="555"/>
      <c r="L1486" s="555"/>
      <c r="M1486" s="555"/>
      <c r="N1486" s="555"/>
      <c r="O1486" s="367">
        <v>104346</v>
      </c>
      <c r="P1486" s="361"/>
    </row>
    <row r="1487" spans="1:18" ht="14.25" customHeight="1">
      <c r="A1487" s="190"/>
      <c r="C1487" s="193"/>
      <c r="E1487" s="193"/>
      <c r="G1487" s="193"/>
      <c r="O1487" s="379"/>
    </row>
    <row r="1488" spans="1:18" ht="14.25">
      <c r="A1488" s="190"/>
      <c r="C1488" s="193" t="s">
        <v>87</v>
      </c>
      <c r="E1488" s="193"/>
      <c r="G1488" s="193"/>
      <c r="O1488" s="339"/>
    </row>
    <row r="1489" spans="1:18">
      <c r="A1489" s="190"/>
      <c r="B1489" s="191" t="s">
        <v>92</v>
      </c>
      <c r="C1489" s="192">
        <v>5</v>
      </c>
      <c r="D1489" s="191" t="s">
        <v>82</v>
      </c>
      <c r="E1489" s="193"/>
      <c r="O1489" s="379"/>
    </row>
    <row r="1490" spans="1:18" ht="14.25">
      <c r="A1490" s="190"/>
      <c r="C1490" s="193"/>
      <c r="E1490" s="193"/>
      <c r="G1490" s="193"/>
      <c r="O1490" s="379"/>
    </row>
    <row r="1491" spans="1:18">
      <c r="A1491" s="247" t="s">
        <v>634</v>
      </c>
      <c r="B1491" s="555" t="s">
        <v>637</v>
      </c>
      <c r="C1491" s="555"/>
      <c r="D1491" s="555"/>
      <c r="E1491" s="555"/>
      <c r="F1491" s="555"/>
      <c r="G1491" s="555"/>
      <c r="H1491" s="555"/>
      <c r="I1491" s="555"/>
      <c r="J1491" s="555"/>
      <c r="K1491" s="555"/>
      <c r="L1491" s="555"/>
      <c r="M1491" s="555"/>
      <c r="N1491" s="555"/>
      <c r="O1491" s="367">
        <v>89797</v>
      </c>
      <c r="P1491" s="361"/>
    </row>
    <row r="1492" spans="1:18" ht="14.25" customHeight="1">
      <c r="A1492" s="190"/>
      <c r="C1492" s="193"/>
      <c r="E1492" s="193"/>
      <c r="G1492" s="193"/>
      <c r="O1492" s="379"/>
    </row>
    <row r="1493" spans="1:18" ht="14.25">
      <c r="A1493" s="190"/>
      <c r="C1493" s="193" t="s">
        <v>87</v>
      </c>
      <c r="E1493" s="193"/>
      <c r="G1493" s="193"/>
      <c r="O1493" s="339"/>
    </row>
    <row r="1494" spans="1:18">
      <c r="A1494" s="190"/>
      <c r="B1494" s="191" t="s">
        <v>92</v>
      </c>
      <c r="C1494" s="192">
        <v>11</v>
      </c>
      <c r="D1494" s="191" t="s">
        <v>82</v>
      </c>
      <c r="E1494" s="192"/>
      <c r="G1494" s="193"/>
      <c r="O1494" s="379"/>
    </row>
    <row r="1495" spans="1:18" ht="14.25" customHeight="1">
      <c r="A1495" s="190"/>
      <c r="C1495" s="193"/>
      <c r="E1495" s="193"/>
      <c r="G1495" s="193"/>
      <c r="O1495" s="379"/>
      <c r="Q1495" s="129"/>
      <c r="R1495" s="129"/>
    </row>
    <row r="1496" spans="1:18">
      <c r="A1496" s="247" t="s">
        <v>635</v>
      </c>
      <c r="B1496" s="555" t="s">
        <v>639</v>
      </c>
      <c r="C1496" s="555"/>
      <c r="D1496" s="555"/>
      <c r="E1496" s="555"/>
      <c r="F1496" s="555"/>
      <c r="G1496" s="555"/>
      <c r="H1496" s="555"/>
      <c r="I1496" s="555"/>
      <c r="J1496" s="555"/>
      <c r="K1496" s="555"/>
      <c r="L1496" s="555"/>
      <c r="M1496" s="555"/>
      <c r="N1496" s="555"/>
      <c r="O1496" s="367">
        <v>89753</v>
      </c>
      <c r="P1496" s="361"/>
    </row>
    <row r="1497" spans="1:18" ht="14.25" customHeight="1">
      <c r="A1497" s="190"/>
      <c r="C1497" s="193"/>
      <c r="E1497" s="193"/>
      <c r="G1497" s="193"/>
      <c r="O1497" s="379"/>
    </row>
    <row r="1498" spans="1:18" ht="14.25">
      <c r="A1498" s="190"/>
      <c r="C1498" s="193" t="s">
        <v>87</v>
      </c>
      <c r="E1498" s="193"/>
      <c r="G1498" s="193"/>
      <c r="O1498" s="339"/>
    </row>
    <row r="1499" spans="1:18">
      <c r="A1499" s="190"/>
      <c r="B1499" s="191" t="s">
        <v>92</v>
      </c>
      <c r="C1499" s="192">
        <v>67</v>
      </c>
      <c r="D1499" s="191" t="s">
        <v>82</v>
      </c>
      <c r="E1499" s="192"/>
      <c r="G1499" s="193"/>
      <c r="O1499" s="379"/>
    </row>
    <row r="1500" spans="1:18" ht="14.25" customHeight="1">
      <c r="A1500" s="190"/>
      <c r="C1500" s="193"/>
      <c r="E1500" s="193"/>
      <c r="G1500" s="193"/>
      <c r="O1500" s="379"/>
      <c r="Q1500" s="129"/>
      <c r="R1500" s="129"/>
    </row>
    <row r="1501" spans="1:18">
      <c r="A1501" s="247" t="s">
        <v>636</v>
      </c>
      <c r="B1501" s="555" t="s">
        <v>641</v>
      </c>
      <c r="C1501" s="555"/>
      <c r="D1501" s="555"/>
      <c r="E1501" s="555"/>
      <c r="F1501" s="555"/>
      <c r="G1501" s="555"/>
      <c r="H1501" s="555"/>
      <c r="I1501" s="555"/>
      <c r="J1501" s="555"/>
      <c r="K1501" s="555"/>
      <c r="L1501" s="555"/>
      <c r="M1501" s="555"/>
      <c r="N1501" s="555"/>
      <c r="O1501" s="367">
        <v>89774</v>
      </c>
      <c r="P1501" s="361"/>
    </row>
    <row r="1502" spans="1:18" ht="14.25" customHeight="1">
      <c r="A1502" s="190"/>
      <c r="C1502" s="193"/>
      <c r="E1502" s="193"/>
      <c r="G1502" s="193"/>
      <c r="O1502" s="339"/>
    </row>
    <row r="1503" spans="1:18" ht="14.25" customHeight="1">
      <c r="A1503" s="190"/>
      <c r="C1503" s="193" t="s">
        <v>87</v>
      </c>
      <c r="E1503" s="193"/>
      <c r="G1503" s="193"/>
      <c r="O1503" s="339"/>
    </row>
    <row r="1504" spans="1:18" ht="14.25" customHeight="1">
      <c r="A1504" s="190"/>
      <c r="B1504" s="191" t="s">
        <v>92</v>
      </c>
      <c r="C1504" s="192">
        <v>48</v>
      </c>
      <c r="D1504" s="191" t="s">
        <v>82</v>
      </c>
      <c r="E1504" s="193"/>
      <c r="G1504" s="193"/>
      <c r="O1504" s="339"/>
    </row>
    <row r="1505" spans="1:16" ht="14.25">
      <c r="A1505" s="190"/>
      <c r="C1505" s="193"/>
      <c r="E1505" s="193"/>
      <c r="G1505" s="193"/>
      <c r="O1505" s="339"/>
    </row>
    <row r="1506" spans="1:16">
      <c r="A1506" s="247" t="s">
        <v>638</v>
      </c>
      <c r="B1506" s="555" t="s">
        <v>643</v>
      </c>
      <c r="C1506" s="555"/>
      <c r="D1506" s="555"/>
      <c r="E1506" s="555"/>
      <c r="F1506" s="555"/>
      <c r="G1506" s="555"/>
      <c r="H1506" s="555"/>
      <c r="I1506" s="555"/>
      <c r="J1506" s="555"/>
      <c r="K1506" s="555"/>
      <c r="L1506" s="555"/>
      <c r="M1506" s="555"/>
      <c r="N1506" s="555"/>
      <c r="O1506" s="367">
        <v>89778</v>
      </c>
      <c r="P1506" s="361"/>
    </row>
    <row r="1507" spans="1:16" ht="14.25" customHeight="1">
      <c r="A1507" s="190"/>
      <c r="C1507" s="193"/>
      <c r="E1507" s="193"/>
      <c r="G1507" s="193"/>
      <c r="O1507" s="339"/>
    </row>
    <row r="1508" spans="1:16" ht="14.25" customHeight="1">
      <c r="A1508" s="190"/>
      <c r="C1508" s="193" t="s">
        <v>87</v>
      </c>
      <c r="E1508" s="193"/>
      <c r="G1508" s="193"/>
      <c r="O1508" s="339"/>
    </row>
    <row r="1509" spans="1:16" ht="14.25" customHeight="1">
      <c r="A1509" s="190"/>
      <c r="B1509" s="191" t="s">
        <v>92</v>
      </c>
      <c r="C1509" s="192">
        <v>73</v>
      </c>
      <c r="D1509" s="191" t="s">
        <v>82</v>
      </c>
      <c r="E1509" s="193"/>
      <c r="G1509" s="193"/>
      <c r="O1509" s="339"/>
    </row>
    <row r="1510" spans="1:16" ht="14.25">
      <c r="A1510" s="190"/>
      <c r="C1510" s="193"/>
      <c r="E1510" s="193"/>
      <c r="G1510" s="193"/>
      <c r="O1510" s="339"/>
    </row>
    <row r="1511" spans="1:16">
      <c r="A1511" s="247" t="s">
        <v>640</v>
      </c>
      <c r="B1511" s="555" t="s">
        <v>646</v>
      </c>
      <c r="C1511" s="555"/>
      <c r="D1511" s="555"/>
      <c r="E1511" s="555"/>
      <c r="F1511" s="555"/>
      <c r="G1511" s="555"/>
      <c r="H1511" s="555"/>
      <c r="I1511" s="555"/>
      <c r="J1511" s="555"/>
      <c r="K1511" s="555"/>
      <c r="L1511" s="555"/>
      <c r="M1511" s="555"/>
      <c r="N1511" s="555"/>
      <c r="O1511" s="367">
        <v>89557</v>
      </c>
      <c r="P1511" s="361"/>
    </row>
    <row r="1512" spans="1:16" ht="14.25" customHeight="1">
      <c r="A1512" s="190"/>
      <c r="C1512" s="193"/>
      <c r="E1512" s="193"/>
      <c r="G1512" s="193"/>
      <c r="O1512" s="379"/>
    </row>
    <row r="1513" spans="1:16" ht="14.25">
      <c r="A1513" s="190"/>
      <c r="C1513" s="193" t="s">
        <v>87</v>
      </c>
      <c r="E1513" s="193"/>
      <c r="G1513" s="193"/>
      <c r="O1513" s="339"/>
    </row>
    <row r="1514" spans="1:16">
      <c r="A1514" s="190"/>
      <c r="B1514" s="191" t="s">
        <v>92</v>
      </c>
      <c r="C1514" s="192">
        <v>7</v>
      </c>
      <c r="D1514" s="191" t="s">
        <v>82</v>
      </c>
      <c r="E1514" s="193"/>
      <c r="G1514" s="193"/>
      <c r="O1514" s="379"/>
    </row>
    <row r="1515" spans="1:16" ht="14.25">
      <c r="A1515" s="190"/>
      <c r="C1515" s="193"/>
      <c r="E1515" s="193"/>
      <c r="G1515" s="193"/>
      <c r="O1515" s="379"/>
    </row>
    <row r="1516" spans="1:16">
      <c r="A1516" s="247" t="s">
        <v>642</v>
      </c>
      <c r="B1516" s="555" t="s">
        <v>1032</v>
      </c>
      <c r="C1516" s="555"/>
      <c r="D1516" s="555"/>
      <c r="E1516" s="555"/>
      <c r="F1516" s="555"/>
      <c r="G1516" s="555"/>
      <c r="H1516" s="555"/>
      <c r="I1516" s="555"/>
      <c r="J1516" s="555"/>
      <c r="K1516" s="555"/>
      <c r="L1516" s="555"/>
      <c r="M1516" s="555"/>
      <c r="N1516" s="555"/>
      <c r="O1516" s="367">
        <v>104348</v>
      </c>
      <c r="P1516" s="361"/>
    </row>
    <row r="1517" spans="1:16" ht="14.25" customHeight="1">
      <c r="A1517" s="190"/>
      <c r="C1517" s="193"/>
      <c r="E1517" s="193"/>
      <c r="G1517" s="193"/>
      <c r="O1517" s="379"/>
    </row>
    <row r="1518" spans="1:16" ht="14.25">
      <c r="A1518" s="190"/>
      <c r="C1518" s="193" t="s">
        <v>87</v>
      </c>
      <c r="E1518" s="193"/>
      <c r="G1518" s="193"/>
      <c r="O1518" s="339"/>
    </row>
    <row r="1519" spans="1:16">
      <c r="A1519" s="190"/>
      <c r="B1519" s="191" t="s">
        <v>92</v>
      </c>
      <c r="C1519" s="192">
        <v>7</v>
      </c>
      <c r="D1519" s="191" t="s">
        <v>82</v>
      </c>
      <c r="E1519" s="193"/>
      <c r="G1519" s="193"/>
      <c r="O1519" s="379"/>
    </row>
    <row r="1520" spans="1:16" ht="14.25">
      <c r="A1520" s="190"/>
      <c r="C1520" s="193"/>
      <c r="E1520" s="193"/>
      <c r="G1520" s="193"/>
      <c r="O1520" s="379"/>
    </row>
    <row r="1521" spans="1:16">
      <c r="A1521" s="247" t="s">
        <v>644</v>
      </c>
      <c r="B1521" s="555" t="s">
        <v>1031</v>
      </c>
      <c r="C1521" s="555"/>
      <c r="D1521" s="555"/>
      <c r="E1521" s="555"/>
      <c r="F1521" s="555"/>
      <c r="G1521" s="555"/>
      <c r="H1521" s="555"/>
      <c r="I1521" s="555"/>
      <c r="J1521" s="555"/>
      <c r="K1521" s="555"/>
      <c r="L1521" s="555"/>
      <c r="M1521" s="555"/>
      <c r="N1521" s="555"/>
      <c r="O1521" s="367">
        <v>104351</v>
      </c>
      <c r="P1521" s="361"/>
    </row>
    <row r="1522" spans="1:16" ht="14.25" customHeight="1">
      <c r="A1522" s="190"/>
      <c r="C1522" s="193"/>
      <c r="E1522" s="193"/>
      <c r="G1522" s="193"/>
      <c r="O1522" s="379"/>
    </row>
    <row r="1523" spans="1:16" ht="14.25">
      <c r="A1523" s="190"/>
      <c r="C1523" s="193" t="s">
        <v>87</v>
      </c>
      <c r="E1523" s="193"/>
      <c r="G1523" s="193"/>
      <c r="O1523" s="339"/>
    </row>
    <row r="1524" spans="1:16">
      <c r="A1524" s="190"/>
      <c r="B1524" s="191" t="s">
        <v>92</v>
      </c>
      <c r="C1524" s="192">
        <v>6</v>
      </c>
      <c r="D1524" s="191" t="s">
        <v>82</v>
      </c>
      <c r="E1524" s="193"/>
      <c r="G1524" s="193"/>
      <c r="O1524" s="379"/>
    </row>
    <row r="1525" spans="1:16" ht="14.25">
      <c r="A1525" s="190"/>
      <c r="C1525" s="193"/>
      <c r="E1525" s="193"/>
      <c r="G1525" s="193"/>
      <c r="O1525" s="379"/>
    </row>
    <row r="1526" spans="1:16">
      <c r="A1526" s="247" t="s">
        <v>645</v>
      </c>
      <c r="B1526" s="555" t="s">
        <v>650</v>
      </c>
      <c r="C1526" s="555"/>
      <c r="D1526" s="555"/>
      <c r="E1526" s="555"/>
      <c r="F1526" s="555"/>
      <c r="G1526" s="555"/>
      <c r="H1526" s="555"/>
      <c r="I1526" s="555"/>
      <c r="J1526" s="555"/>
      <c r="K1526" s="555"/>
      <c r="L1526" s="555"/>
      <c r="M1526" s="555"/>
      <c r="N1526" s="555"/>
      <c r="O1526" s="367">
        <v>89784</v>
      </c>
      <c r="P1526" s="361"/>
    </row>
    <row r="1527" spans="1:16" ht="14.25" customHeight="1">
      <c r="A1527" s="190"/>
      <c r="C1527" s="193"/>
      <c r="E1527" s="193"/>
      <c r="G1527" s="193"/>
      <c r="O1527" s="379"/>
    </row>
    <row r="1528" spans="1:16" ht="14.25">
      <c r="A1528" s="190"/>
      <c r="C1528" s="193" t="s">
        <v>87</v>
      </c>
      <c r="E1528" s="193"/>
      <c r="G1528" s="193"/>
      <c r="O1528" s="339"/>
    </row>
    <row r="1529" spans="1:16">
      <c r="A1529" s="190"/>
      <c r="B1529" s="191" t="s">
        <v>92</v>
      </c>
      <c r="C1529" s="192">
        <v>4</v>
      </c>
      <c r="D1529" s="191" t="s">
        <v>82</v>
      </c>
      <c r="E1529" s="193"/>
      <c r="G1529" s="193"/>
      <c r="O1529" s="379"/>
    </row>
    <row r="1530" spans="1:16" ht="14.25">
      <c r="A1530" s="190"/>
      <c r="C1530" s="193"/>
      <c r="E1530" s="193"/>
      <c r="G1530" s="193"/>
      <c r="O1530" s="379"/>
    </row>
    <row r="1531" spans="1:16">
      <c r="A1531" s="247" t="s">
        <v>647</v>
      </c>
      <c r="B1531" s="555" t="s">
        <v>1102</v>
      </c>
      <c r="C1531" s="555"/>
      <c r="D1531" s="555"/>
      <c r="E1531" s="555"/>
      <c r="F1531" s="555"/>
      <c r="G1531" s="555"/>
      <c r="H1531" s="555"/>
      <c r="I1531" s="555"/>
      <c r="J1531" s="555"/>
      <c r="K1531" s="555"/>
      <c r="L1531" s="555"/>
      <c r="M1531" s="555"/>
      <c r="N1531" s="555"/>
      <c r="O1531" s="367">
        <v>89786</v>
      </c>
      <c r="P1531" s="361"/>
    </row>
    <row r="1532" spans="1:16" ht="14.25" customHeight="1">
      <c r="A1532" s="190"/>
      <c r="C1532" s="193"/>
      <c r="E1532" s="193"/>
      <c r="G1532" s="193"/>
      <c r="O1532" s="379"/>
    </row>
    <row r="1533" spans="1:16" ht="14.25">
      <c r="A1533" s="190"/>
      <c r="C1533" s="193" t="s">
        <v>87</v>
      </c>
      <c r="E1533" s="193"/>
      <c r="G1533" s="193"/>
      <c r="O1533" s="339"/>
    </row>
    <row r="1534" spans="1:16">
      <c r="A1534" s="190"/>
      <c r="B1534" s="191" t="s">
        <v>92</v>
      </c>
      <c r="C1534" s="192">
        <f>7+4</f>
        <v>11</v>
      </c>
      <c r="D1534" s="191" t="s">
        <v>82</v>
      </c>
      <c r="E1534" s="193"/>
      <c r="G1534" s="193"/>
      <c r="O1534" s="379"/>
    </row>
    <row r="1535" spans="1:16" ht="14.25">
      <c r="A1535" s="190"/>
      <c r="C1535" s="193"/>
      <c r="E1535" s="193"/>
      <c r="G1535" s="193"/>
      <c r="O1535" s="379"/>
    </row>
    <row r="1536" spans="1:16">
      <c r="A1536" s="247" t="s">
        <v>648</v>
      </c>
      <c r="B1536" s="555" t="s">
        <v>1033</v>
      </c>
      <c r="C1536" s="555"/>
      <c r="D1536" s="555"/>
      <c r="E1536" s="555"/>
      <c r="F1536" s="555"/>
      <c r="G1536" s="555"/>
      <c r="H1536" s="555"/>
      <c r="I1536" s="555"/>
      <c r="J1536" s="555"/>
      <c r="K1536" s="555"/>
      <c r="L1536" s="555"/>
      <c r="M1536" s="555"/>
      <c r="N1536" s="555"/>
      <c r="O1536" s="367">
        <v>104344</v>
      </c>
      <c r="P1536" s="361"/>
    </row>
    <row r="1537" spans="1:16" ht="14.25" customHeight="1">
      <c r="A1537" s="190"/>
      <c r="C1537" s="193"/>
      <c r="E1537" s="193"/>
      <c r="G1537" s="193"/>
      <c r="O1537" s="379"/>
    </row>
    <row r="1538" spans="1:16" ht="14.25">
      <c r="A1538" s="190"/>
      <c r="C1538" s="193" t="s">
        <v>87</v>
      </c>
      <c r="E1538" s="193"/>
      <c r="G1538" s="193"/>
      <c r="O1538" s="339"/>
    </row>
    <row r="1539" spans="1:16">
      <c r="A1539" s="190"/>
      <c r="B1539" s="191" t="s">
        <v>92</v>
      </c>
      <c r="C1539" s="192">
        <v>1</v>
      </c>
      <c r="D1539" s="191" t="s">
        <v>82</v>
      </c>
      <c r="E1539" s="193"/>
      <c r="G1539" s="193"/>
      <c r="O1539" s="379"/>
    </row>
    <row r="1540" spans="1:16" ht="14.25">
      <c r="A1540" s="190"/>
      <c r="C1540" s="193"/>
      <c r="E1540" s="193"/>
      <c r="G1540" s="193"/>
      <c r="O1540" s="379"/>
    </row>
    <row r="1541" spans="1:16">
      <c r="A1541" s="247" t="s">
        <v>649</v>
      </c>
      <c r="B1541" s="555" t="s">
        <v>654</v>
      </c>
      <c r="C1541" s="555"/>
      <c r="D1541" s="555"/>
      <c r="E1541" s="555"/>
      <c r="F1541" s="555"/>
      <c r="G1541" s="555"/>
      <c r="H1541" s="555"/>
      <c r="I1541" s="555"/>
      <c r="J1541" s="555"/>
      <c r="K1541" s="555"/>
      <c r="L1541" s="555"/>
      <c r="M1541" s="555"/>
      <c r="N1541" s="555"/>
      <c r="O1541" s="367">
        <v>104346</v>
      </c>
      <c r="P1541" s="361"/>
    </row>
    <row r="1542" spans="1:16" ht="14.25" customHeight="1">
      <c r="A1542" s="190"/>
      <c r="C1542" s="193"/>
      <c r="E1542" s="193"/>
      <c r="G1542" s="193"/>
      <c r="O1542" s="379"/>
    </row>
    <row r="1543" spans="1:16" ht="14.25">
      <c r="A1543" s="190"/>
      <c r="C1543" s="193" t="s">
        <v>87</v>
      </c>
      <c r="E1543" s="193"/>
      <c r="G1543" s="193"/>
      <c r="O1543" s="339"/>
    </row>
    <row r="1544" spans="1:16">
      <c r="A1544" s="190"/>
      <c r="B1544" s="191" t="s">
        <v>92</v>
      </c>
      <c r="C1544" s="192">
        <v>9</v>
      </c>
      <c r="D1544" s="191" t="s">
        <v>82</v>
      </c>
      <c r="E1544" s="193"/>
      <c r="G1544" s="193"/>
      <c r="O1544" s="379"/>
    </row>
    <row r="1545" spans="1:16" ht="14.25">
      <c r="A1545" s="190"/>
      <c r="C1545" s="193"/>
      <c r="E1545" s="193"/>
      <c r="G1545" s="193"/>
      <c r="O1545" s="379"/>
    </row>
    <row r="1546" spans="1:16">
      <c r="A1546" s="247" t="s">
        <v>651</v>
      </c>
      <c r="B1546" s="555" t="s">
        <v>1293</v>
      </c>
      <c r="C1546" s="555"/>
      <c r="D1546" s="555"/>
      <c r="E1546" s="555"/>
      <c r="F1546" s="555"/>
      <c r="G1546" s="555"/>
      <c r="H1546" s="555"/>
      <c r="I1546" s="555"/>
      <c r="J1546" s="555"/>
      <c r="K1546" s="555"/>
      <c r="L1546" s="555"/>
      <c r="M1546" s="555"/>
      <c r="N1546" s="555"/>
      <c r="O1546" s="367">
        <v>89860</v>
      </c>
      <c r="P1546" s="361"/>
    </row>
    <row r="1547" spans="1:16" ht="14.25" customHeight="1">
      <c r="A1547" s="190"/>
      <c r="C1547" s="193"/>
      <c r="E1547" s="193"/>
      <c r="G1547" s="193"/>
      <c r="O1547" s="379"/>
    </row>
    <row r="1548" spans="1:16" ht="14.25">
      <c r="A1548" s="190"/>
      <c r="C1548" s="193" t="s">
        <v>87</v>
      </c>
      <c r="E1548" s="193"/>
      <c r="G1548" s="193"/>
      <c r="O1548" s="339"/>
    </row>
    <row r="1549" spans="1:16">
      <c r="A1549" s="190"/>
      <c r="B1549" s="191" t="s">
        <v>92</v>
      </c>
      <c r="C1549" s="192">
        <v>3</v>
      </c>
      <c r="D1549" s="191" t="s">
        <v>82</v>
      </c>
      <c r="E1549" s="193"/>
      <c r="G1549" s="193"/>
      <c r="O1549" s="379"/>
    </row>
    <row r="1550" spans="1:16" ht="14.25">
      <c r="A1550" s="190"/>
      <c r="C1550" s="193"/>
      <c r="E1550" s="193"/>
      <c r="G1550" s="193"/>
      <c r="O1550" s="379"/>
    </row>
    <row r="1551" spans="1:16">
      <c r="A1551" s="247" t="s">
        <v>652</v>
      </c>
      <c r="B1551" s="544" t="s">
        <v>1034</v>
      </c>
      <c r="C1551" s="545"/>
      <c r="D1551" s="545"/>
      <c r="E1551" s="545"/>
      <c r="F1551" s="545"/>
      <c r="G1551" s="545"/>
      <c r="H1551" s="545"/>
      <c r="I1551" s="545"/>
      <c r="J1551" s="545"/>
      <c r="K1551" s="545"/>
      <c r="L1551" s="545"/>
      <c r="M1551" s="545"/>
      <c r="N1551" s="545"/>
      <c r="O1551" s="252" t="s">
        <v>1035</v>
      </c>
      <c r="P1551" s="361" t="s">
        <v>74</v>
      </c>
    </row>
    <row r="1552" spans="1:16" ht="14.25" customHeight="1">
      <c r="A1552" s="190"/>
      <c r="C1552" s="193"/>
      <c r="E1552" s="193"/>
      <c r="G1552" s="193"/>
      <c r="O1552" s="339"/>
    </row>
    <row r="1553" spans="1:16" ht="14.25" customHeight="1">
      <c r="A1553" s="190"/>
      <c r="C1553" s="193" t="s">
        <v>87</v>
      </c>
      <c r="E1553" s="193"/>
      <c r="G1553" s="193"/>
      <c r="O1553" s="339"/>
    </row>
    <row r="1554" spans="1:16" ht="14.25" customHeight="1">
      <c r="A1554" s="190"/>
      <c r="B1554" s="191" t="s">
        <v>92</v>
      </c>
      <c r="C1554" s="192">
        <f>1</f>
        <v>1</v>
      </c>
      <c r="D1554" s="191" t="s">
        <v>82</v>
      </c>
      <c r="E1554" s="193"/>
      <c r="G1554" s="193"/>
      <c r="O1554" s="339"/>
    </row>
    <row r="1555" spans="1:16" ht="14.25" customHeight="1">
      <c r="A1555" s="190"/>
      <c r="C1555" s="193"/>
      <c r="E1555" s="193"/>
      <c r="G1555" s="193"/>
      <c r="O1555" s="339"/>
    </row>
    <row r="1556" spans="1:16" ht="33" customHeight="1">
      <c r="A1556" s="245" t="s">
        <v>653</v>
      </c>
      <c r="B1556" s="544" t="s">
        <v>657</v>
      </c>
      <c r="C1556" s="545"/>
      <c r="D1556" s="545"/>
      <c r="E1556" s="545"/>
      <c r="F1556" s="545"/>
      <c r="G1556" s="545"/>
      <c r="H1556" s="545"/>
      <c r="I1556" s="545"/>
      <c r="J1556" s="545"/>
      <c r="K1556" s="545"/>
      <c r="L1556" s="545"/>
      <c r="M1556" s="545"/>
      <c r="N1556" s="545"/>
      <c r="O1556" s="252">
        <v>104328</v>
      </c>
      <c r="P1556" s="350"/>
    </row>
    <row r="1557" spans="1:16" ht="14.25" customHeight="1">
      <c r="A1557" s="190"/>
      <c r="C1557" s="193"/>
      <c r="E1557" s="193"/>
      <c r="G1557" s="193"/>
      <c r="O1557" s="339"/>
    </row>
    <row r="1558" spans="1:16" ht="14.25" customHeight="1">
      <c r="A1558" s="190"/>
      <c r="C1558" s="193" t="s">
        <v>87</v>
      </c>
      <c r="E1558" s="193"/>
      <c r="G1558" s="193"/>
      <c r="O1558" s="339"/>
    </row>
    <row r="1559" spans="1:16" ht="14.25" customHeight="1">
      <c r="A1559" s="190"/>
      <c r="B1559" s="191" t="s">
        <v>92</v>
      </c>
      <c r="C1559" s="192">
        <f>16+10</f>
        <v>26</v>
      </c>
      <c r="D1559" s="191" t="s">
        <v>82</v>
      </c>
      <c r="E1559" s="193"/>
      <c r="G1559" s="193"/>
      <c r="O1559" s="339"/>
    </row>
    <row r="1560" spans="1:16" ht="14.25" customHeight="1">
      <c r="A1560" s="190"/>
      <c r="C1560" s="193"/>
      <c r="E1560" s="193"/>
      <c r="G1560" s="193"/>
      <c r="O1560" s="339"/>
    </row>
    <row r="1561" spans="1:16" ht="30.75" customHeight="1">
      <c r="A1561" s="245" t="s">
        <v>655</v>
      </c>
      <c r="B1561" s="544" t="s">
        <v>659</v>
      </c>
      <c r="C1561" s="545"/>
      <c r="D1561" s="545"/>
      <c r="E1561" s="545"/>
      <c r="F1561" s="545"/>
      <c r="G1561" s="545"/>
      <c r="H1561" s="545"/>
      <c r="I1561" s="545"/>
      <c r="J1561" s="545"/>
      <c r="K1561" s="545"/>
      <c r="L1561" s="545"/>
      <c r="M1561" s="545"/>
      <c r="N1561" s="545"/>
      <c r="O1561" s="252">
        <v>89708</v>
      </c>
      <c r="P1561" s="350"/>
    </row>
    <row r="1562" spans="1:16" ht="14.25" customHeight="1">
      <c r="A1562" s="190"/>
      <c r="C1562" s="193"/>
      <c r="E1562" s="193"/>
      <c r="G1562" s="193"/>
      <c r="O1562" s="339"/>
    </row>
    <row r="1563" spans="1:16" ht="14.25" customHeight="1">
      <c r="A1563" s="190"/>
      <c r="C1563" s="193" t="s">
        <v>87</v>
      </c>
      <c r="E1563" s="193"/>
      <c r="G1563" s="193"/>
      <c r="O1563" s="339"/>
    </row>
    <row r="1564" spans="1:16" ht="14.25" customHeight="1">
      <c r="A1564" s="190"/>
      <c r="B1564" s="191" t="s">
        <v>92</v>
      </c>
      <c r="C1564" s="192">
        <v>2</v>
      </c>
      <c r="D1564" s="191" t="s">
        <v>82</v>
      </c>
      <c r="E1564" s="193"/>
      <c r="G1564" s="193"/>
      <c r="O1564" s="339"/>
    </row>
    <row r="1565" spans="1:16" ht="14.25" customHeight="1">
      <c r="A1565" s="190"/>
      <c r="C1565" s="193"/>
      <c r="E1565" s="193"/>
      <c r="G1565" s="193"/>
      <c r="O1565" s="339"/>
    </row>
    <row r="1566" spans="1:16" ht="48.75" customHeight="1">
      <c r="A1566" s="245" t="s">
        <v>656</v>
      </c>
      <c r="B1566" s="544" t="s">
        <v>1037</v>
      </c>
      <c r="C1566" s="550"/>
      <c r="D1566" s="550"/>
      <c r="E1566" s="550"/>
      <c r="F1566" s="550"/>
      <c r="G1566" s="550"/>
      <c r="H1566" s="550"/>
      <c r="I1566" s="550"/>
      <c r="J1566" s="550"/>
      <c r="K1566" s="550"/>
      <c r="L1566" s="550"/>
      <c r="M1566" s="550"/>
      <c r="N1566" s="550"/>
      <c r="O1566" s="252" t="s">
        <v>1036</v>
      </c>
      <c r="P1566" s="350" t="s">
        <v>970</v>
      </c>
    </row>
    <row r="1567" spans="1:16" ht="14.25" customHeight="1">
      <c r="A1567" s="190"/>
      <c r="C1567" s="193"/>
      <c r="E1567" s="193"/>
      <c r="G1567" s="193"/>
      <c r="O1567" s="339"/>
    </row>
    <row r="1568" spans="1:16" ht="14.25" customHeight="1">
      <c r="A1568" s="190"/>
      <c r="C1568" s="193" t="s">
        <v>87</v>
      </c>
      <c r="E1568" s="193"/>
      <c r="G1568" s="193"/>
      <c r="O1568" s="339"/>
    </row>
    <row r="1569" spans="1:16" ht="14.25" customHeight="1">
      <c r="A1569" s="190"/>
      <c r="B1569" s="191" t="s">
        <v>92</v>
      </c>
      <c r="C1569" s="192">
        <v>11</v>
      </c>
      <c r="D1569" s="191" t="s">
        <v>82</v>
      </c>
      <c r="E1569" s="193"/>
      <c r="G1569" s="193"/>
      <c r="O1569" s="339"/>
    </row>
    <row r="1570" spans="1:16" ht="14.25">
      <c r="A1570" s="190"/>
      <c r="C1570" s="193"/>
      <c r="E1570" s="193"/>
      <c r="G1570" s="193"/>
      <c r="O1570" s="339"/>
    </row>
    <row r="1571" spans="1:16">
      <c r="A1571" s="247" t="s">
        <v>658</v>
      </c>
      <c r="B1571" s="555" t="s">
        <v>662</v>
      </c>
      <c r="C1571" s="555"/>
      <c r="D1571" s="555"/>
      <c r="E1571" s="555"/>
      <c r="F1571" s="555"/>
      <c r="G1571" s="555"/>
      <c r="H1571" s="555"/>
      <c r="I1571" s="555"/>
      <c r="J1571" s="555"/>
      <c r="K1571" s="555"/>
      <c r="L1571" s="555"/>
      <c r="M1571" s="555"/>
      <c r="N1571" s="555"/>
      <c r="O1571" s="367" t="s">
        <v>1038</v>
      </c>
      <c r="P1571" s="361" t="s">
        <v>74</v>
      </c>
    </row>
    <row r="1572" spans="1:16" ht="14.25" customHeight="1">
      <c r="A1572" s="190"/>
      <c r="C1572" s="193"/>
      <c r="E1572" s="193"/>
      <c r="G1572" s="193"/>
      <c r="O1572" s="339"/>
    </row>
    <row r="1573" spans="1:16" ht="14.25" customHeight="1">
      <c r="A1573" s="190"/>
      <c r="C1573" s="193" t="s">
        <v>87</v>
      </c>
      <c r="E1573" s="193"/>
      <c r="G1573" s="193"/>
      <c r="O1573" s="339"/>
    </row>
    <row r="1574" spans="1:16" ht="14.25" customHeight="1">
      <c r="A1574" s="190"/>
      <c r="B1574" s="191" t="s">
        <v>92</v>
      </c>
      <c r="C1574" s="192">
        <v>4</v>
      </c>
      <c r="D1574" s="191" t="s">
        <v>82</v>
      </c>
      <c r="E1574" s="193"/>
      <c r="G1574" s="193"/>
      <c r="O1574" s="339"/>
    </row>
    <row r="1575" spans="1:16" ht="14.25">
      <c r="A1575" s="190"/>
      <c r="C1575" s="193"/>
      <c r="E1575" s="193"/>
      <c r="G1575" s="193"/>
      <c r="O1575" s="339"/>
    </row>
    <row r="1576" spans="1:16">
      <c r="A1576" s="245" t="s">
        <v>660</v>
      </c>
      <c r="B1576" s="544" t="s">
        <v>664</v>
      </c>
      <c r="C1576" s="550"/>
      <c r="D1576" s="550"/>
      <c r="E1576" s="550"/>
      <c r="F1576" s="550"/>
      <c r="G1576" s="550"/>
      <c r="H1576" s="550"/>
      <c r="I1576" s="550"/>
      <c r="J1576" s="550"/>
      <c r="K1576" s="550"/>
      <c r="L1576" s="550"/>
      <c r="M1576" s="550"/>
      <c r="N1576" s="550"/>
      <c r="O1576" s="252">
        <v>89710</v>
      </c>
      <c r="P1576" s="350"/>
    </row>
    <row r="1577" spans="1:16" ht="14.25" customHeight="1">
      <c r="A1577" s="190"/>
      <c r="C1577" s="193"/>
      <c r="E1577" s="193"/>
      <c r="G1577" s="193"/>
      <c r="O1577" s="339"/>
    </row>
    <row r="1578" spans="1:16" ht="14.25" customHeight="1">
      <c r="A1578" s="190"/>
      <c r="C1578" s="193" t="s">
        <v>87</v>
      </c>
      <c r="E1578" s="193"/>
      <c r="G1578" s="193"/>
      <c r="O1578" s="339"/>
    </row>
    <row r="1579" spans="1:16" ht="14.25" customHeight="1">
      <c r="A1579" s="190"/>
      <c r="B1579" s="191" t="s">
        <v>92</v>
      </c>
      <c r="C1579" s="192">
        <v>3</v>
      </c>
      <c r="D1579" s="191" t="s">
        <v>82</v>
      </c>
      <c r="E1579" s="193"/>
      <c r="G1579" s="193"/>
      <c r="O1579" s="339"/>
    </row>
    <row r="1580" spans="1:16" ht="14.25">
      <c r="A1580" s="190"/>
      <c r="C1580" s="193"/>
      <c r="E1580" s="193"/>
      <c r="G1580" s="193"/>
      <c r="O1580" s="339"/>
    </row>
    <row r="1581" spans="1:16">
      <c r="A1581" s="245" t="s">
        <v>661</v>
      </c>
      <c r="B1581" s="555" t="s">
        <v>1039</v>
      </c>
      <c r="C1581" s="555"/>
      <c r="D1581" s="555"/>
      <c r="E1581" s="555"/>
      <c r="F1581" s="555"/>
      <c r="G1581" s="555"/>
      <c r="H1581" s="555"/>
      <c r="I1581" s="555"/>
      <c r="J1581" s="555"/>
      <c r="K1581" s="555"/>
      <c r="L1581" s="555"/>
      <c r="M1581" s="555"/>
      <c r="N1581" s="555"/>
      <c r="O1581" s="367" t="s">
        <v>1040</v>
      </c>
      <c r="P1581" s="361" t="s">
        <v>74</v>
      </c>
    </row>
    <row r="1582" spans="1:16" ht="14.25" customHeight="1">
      <c r="A1582" s="190"/>
      <c r="C1582" s="193"/>
      <c r="E1582" s="193"/>
      <c r="G1582" s="193"/>
      <c r="O1582" s="379"/>
    </row>
    <row r="1583" spans="1:16" ht="14.25">
      <c r="A1583" s="190"/>
      <c r="C1583" s="193" t="s">
        <v>87</v>
      </c>
      <c r="E1583" s="193"/>
      <c r="G1583" s="193"/>
      <c r="O1583" s="339"/>
    </row>
    <row r="1584" spans="1:16">
      <c r="A1584" s="190"/>
      <c r="B1584" s="191" t="s">
        <v>92</v>
      </c>
      <c r="C1584" s="192">
        <f>20+12</f>
        <v>32</v>
      </c>
      <c r="D1584" s="191" t="s">
        <v>82</v>
      </c>
      <c r="E1584" s="192"/>
      <c r="G1584" s="193"/>
      <c r="O1584" s="379"/>
    </row>
    <row r="1585" spans="1:33" ht="14.25" customHeight="1">
      <c r="A1585" s="190"/>
      <c r="C1585" s="193"/>
      <c r="E1585" s="193"/>
      <c r="G1585" s="193"/>
      <c r="O1585" s="379"/>
      <c r="Q1585" s="129"/>
      <c r="R1585" s="129"/>
    </row>
    <row r="1586" spans="1:33">
      <c r="A1586" s="247" t="s">
        <v>663</v>
      </c>
      <c r="B1586" s="544" t="s">
        <v>666</v>
      </c>
      <c r="C1586" s="550"/>
      <c r="D1586" s="550"/>
      <c r="E1586" s="550"/>
      <c r="F1586" s="550"/>
      <c r="G1586" s="550"/>
      <c r="H1586" s="550"/>
      <c r="I1586" s="550"/>
      <c r="J1586" s="550"/>
      <c r="K1586" s="550"/>
      <c r="L1586" s="550"/>
      <c r="M1586" s="550"/>
      <c r="N1586" s="550"/>
      <c r="O1586" s="252">
        <v>98081</v>
      </c>
      <c r="P1586" s="350"/>
      <c r="Q1586" s="129"/>
      <c r="R1586" s="129"/>
      <c r="S1586" s="129"/>
      <c r="T1586" s="129"/>
      <c r="U1586" s="129"/>
      <c r="V1586" s="129"/>
      <c r="W1586" s="129"/>
      <c r="X1586" s="129"/>
      <c r="Y1586" s="129"/>
      <c r="Z1586" s="129"/>
      <c r="AA1586" s="129"/>
      <c r="AB1586" s="129"/>
      <c r="AC1586" s="129"/>
      <c r="AD1586" s="129"/>
      <c r="AE1586" s="129"/>
      <c r="AF1586" s="129"/>
      <c r="AG1586" s="129"/>
    </row>
    <row r="1587" spans="1:33" ht="15" customHeight="1">
      <c r="A1587" s="190"/>
      <c r="B1587" s="129"/>
      <c r="C1587" s="187"/>
      <c r="D1587" s="129"/>
      <c r="E1587" s="187"/>
      <c r="F1587" s="129"/>
      <c r="G1587" s="187"/>
      <c r="H1587" s="129"/>
      <c r="I1587" s="129"/>
      <c r="J1587" s="129"/>
      <c r="K1587" s="129"/>
      <c r="L1587" s="129"/>
      <c r="M1587" s="129"/>
      <c r="N1587" s="129"/>
      <c r="O1587" s="346"/>
      <c r="P1587" s="347"/>
      <c r="Q1587" s="129"/>
      <c r="R1587" s="129"/>
      <c r="S1587" s="129"/>
      <c r="T1587" s="129"/>
      <c r="U1587" s="129"/>
      <c r="V1587" s="129"/>
      <c r="W1587" s="129"/>
      <c r="X1587" s="129"/>
      <c r="Y1587" s="129"/>
      <c r="Z1587" s="129"/>
      <c r="AA1587" s="129"/>
      <c r="AB1587" s="129"/>
      <c r="AC1587" s="129"/>
      <c r="AD1587" s="129"/>
      <c r="AE1587" s="129"/>
      <c r="AF1587" s="129"/>
      <c r="AG1587" s="129"/>
    </row>
    <row r="1588" spans="1:33" ht="15" customHeight="1">
      <c r="A1588" s="190"/>
      <c r="B1588" s="129"/>
      <c r="C1588" s="187" t="s">
        <v>87</v>
      </c>
      <c r="D1588" s="129"/>
      <c r="E1588" s="187"/>
      <c r="F1588" s="129"/>
      <c r="G1588" s="187"/>
      <c r="H1588" s="129"/>
      <c r="I1588" s="129"/>
      <c r="J1588" s="129"/>
      <c r="K1588" s="129"/>
      <c r="L1588" s="129"/>
      <c r="M1588" s="129"/>
      <c r="N1588" s="129"/>
      <c r="O1588" s="346"/>
      <c r="P1588" s="347"/>
      <c r="Q1588" s="129"/>
      <c r="R1588" s="129"/>
      <c r="S1588" s="129"/>
      <c r="T1588" s="129"/>
      <c r="U1588" s="129"/>
      <c r="V1588" s="129"/>
      <c r="W1588" s="129"/>
      <c r="X1588" s="129"/>
      <c r="Y1588" s="129"/>
      <c r="Z1588" s="129"/>
      <c r="AA1588" s="129"/>
      <c r="AB1588" s="129"/>
      <c r="AC1588" s="129"/>
      <c r="AD1588" s="129"/>
      <c r="AE1588" s="129"/>
      <c r="AF1588" s="129"/>
      <c r="AG1588" s="129"/>
    </row>
    <row r="1589" spans="1:33" ht="14.25" customHeight="1">
      <c r="A1589" s="190"/>
      <c r="B1589" s="191" t="s">
        <v>92</v>
      </c>
      <c r="C1589" s="200">
        <v>2</v>
      </c>
      <c r="D1589" s="261" t="s">
        <v>82</v>
      </c>
      <c r="E1589" s="187"/>
      <c r="F1589" s="129"/>
      <c r="G1589" s="187"/>
      <c r="H1589" s="129"/>
      <c r="I1589" s="129"/>
      <c r="J1589" s="129"/>
      <c r="K1589" s="129"/>
      <c r="L1589" s="129"/>
      <c r="M1589" s="129"/>
      <c r="N1589" s="129"/>
      <c r="O1589" s="346"/>
      <c r="P1589" s="347"/>
    </row>
    <row r="1590" spans="1:33" ht="14.25" customHeight="1">
      <c r="A1590" s="190"/>
      <c r="C1590" s="193"/>
      <c r="E1590" s="193"/>
      <c r="G1590" s="193"/>
      <c r="O1590" s="339"/>
      <c r="Q1590" s="129"/>
    </row>
    <row r="1591" spans="1:33">
      <c r="A1591" s="247" t="s">
        <v>665</v>
      </c>
      <c r="B1591" s="555" t="s">
        <v>1333</v>
      </c>
      <c r="C1591" s="555"/>
      <c r="D1591" s="555"/>
      <c r="E1591" s="555"/>
      <c r="F1591" s="555"/>
      <c r="G1591" s="555"/>
      <c r="H1591" s="555"/>
      <c r="I1591" s="555"/>
      <c r="J1591" s="555"/>
      <c r="K1591" s="555"/>
      <c r="L1591" s="555"/>
      <c r="M1591" s="555"/>
      <c r="N1591" s="555"/>
      <c r="O1591" s="367">
        <v>98071</v>
      </c>
      <c r="P1591" s="361"/>
    </row>
    <row r="1592" spans="1:33" ht="15" customHeight="1">
      <c r="A1592" s="186"/>
      <c r="B1592" s="129"/>
      <c r="C1592" s="187"/>
      <c r="D1592" s="129"/>
      <c r="E1592" s="187"/>
      <c r="F1592" s="129"/>
      <c r="G1592" s="187"/>
      <c r="H1592" s="129"/>
      <c r="I1592" s="129"/>
      <c r="J1592" s="129"/>
      <c r="K1592" s="129"/>
      <c r="L1592" s="129"/>
      <c r="M1592" s="129"/>
      <c r="N1592" s="129"/>
      <c r="O1592" s="346"/>
      <c r="P1592" s="347"/>
      <c r="Q1592" s="129"/>
      <c r="R1592" s="129"/>
      <c r="S1592" s="129"/>
      <c r="T1592" s="129"/>
      <c r="U1592" s="129"/>
      <c r="V1592" s="129"/>
      <c r="W1592" s="129"/>
      <c r="X1592" s="129"/>
      <c r="Y1592" s="129"/>
      <c r="Z1592" s="129"/>
      <c r="AA1592" s="129"/>
      <c r="AB1592" s="129"/>
      <c r="AC1592" s="129"/>
      <c r="AD1592" s="129"/>
      <c r="AE1592" s="129"/>
      <c r="AF1592" s="129"/>
      <c r="AG1592" s="129"/>
    </row>
    <row r="1593" spans="1:33" ht="15" customHeight="1">
      <c r="A1593" s="186"/>
      <c r="B1593" s="129"/>
      <c r="C1593" s="187" t="s">
        <v>87</v>
      </c>
      <c r="D1593" s="129"/>
      <c r="E1593" s="187"/>
      <c r="F1593" s="129"/>
      <c r="G1593" s="187"/>
      <c r="H1593" s="129"/>
      <c r="I1593" s="129"/>
      <c r="J1593" s="129"/>
      <c r="K1593" s="129"/>
      <c r="L1593" s="129"/>
      <c r="M1593" s="129"/>
      <c r="N1593" s="129"/>
      <c r="O1593" s="346"/>
      <c r="P1593" s="347"/>
      <c r="Q1593" s="129"/>
      <c r="R1593" s="129"/>
      <c r="S1593" s="129"/>
      <c r="T1593" s="129"/>
      <c r="U1593" s="129"/>
      <c r="V1593" s="129"/>
      <c r="W1593" s="129"/>
      <c r="X1593" s="129"/>
      <c r="Y1593" s="129"/>
      <c r="Z1593" s="129"/>
      <c r="AA1593" s="129"/>
      <c r="AB1593" s="129"/>
      <c r="AC1593" s="129"/>
      <c r="AD1593" s="129"/>
      <c r="AE1593" s="129"/>
      <c r="AF1593" s="129"/>
      <c r="AG1593" s="129"/>
    </row>
    <row r="1594" spans="1:33" ht="14.25" customHeight="1">
      <c r="A1594" s="186"/>
      <c r="B1594" s="191" t="s">
        <v>92</v>
      </c>
      <c r="C1594" s="200">
        <v>1</v>
      </c>
      <c r="D1594" s="261" t="s">
        <v>82</v>
      </c>
      <c r="E1594" s="187"/>
      <c r="F1594" s="129"/>
      <c r="G1594" s="187"/>
      <c r="H1594" s="129"/>
      <c r="I1594" s="129"/>
      <c r="J1594" s="129"/>
      <c r="K1594" s="129"/>
      <c r="L1594" s="129"/>
      <c r="M1594" s="129"/>
      <c r="N1594" s="129"/>
      <c r="O1594" s="346"/>
      <c r="P1594" s="347"/>
    </row>
    <row r="1595" spans="1:33" ht="14.25" customHeight="1">
      <c r="A1595" s="190"/>
      <c r="C1595" s="193"/>
      <c r="E1595" s="193"/>
      <c r="G1595" s="193"/>
      <c r="O1595" s="339"/>
      <c r="Q1595" s="129"/>
    </row>
    <row r="1596" spans="1:33">
      <c r="A1596" s="188" t="s">
        <v>172</v>
      </c>
      <c r="B1596" s="551" t="s">
        <v>60</v>
      </c>
      <c r="C1596" s="552"/>
      <c r="D1596" s="552"/>
      <c r="E1596" s="552"/>
      <c r="F1596" s="552"/>
      <c r="G1596" s="552"/>
      <c r="H1596" s="552"/>
      <c r="I1596" s="552"/>
      <c r="J1596" s="552"/>
      <c r="K1596" s="552"/>
      <c r="L1596" s="552"/>
      <c r="M1596" s="552"/>
      <c r="N1596" s="552"/>
      <c r="O1596" s="340"/>
      <c r="P1596" s="346"/>
    </row>
    <row r="1597" spans="1:33" ht="14.25">
      <c r="A1597" s="190"/>
      <c r="C1597" s="193"/>
      <c r="E1597" s="193"/>
      <c r="G1597" s="193"/>
      <c r="P1597" s="339"/>
    </row>
    <row r="1598" spans="1:33">
      <c r="A1598" s="245" t="s">
        <v>1350</v>
      </c>
      <c r="B1598" s="544" t="s">
        <v>508</v>
      </c>
      <c r="C1598" s="550"/>
      <c r="D1598" s="550"/>
      <c r="E1598" s="550"/>
      <c r="F1598" s="550"/>
      <c r="G1598" s="550"/>
      <c r="H1598" s="550"/>
      <c r="I1598" s="550"/>
      <c r="J1598" s="550"/>
      <c r="K1598" s="550"/>
      <c r="L1598" s="550"/>
      <c r="M1598" s="550"/>
      <c r="N1598" s="550"/>
      <c r="O1598" s="252">
        <v>89446</v>
      </c>
      <c r="P1598" s="350"/>
    </row>
    <row r="1599" spans="1:33" ht="14.25" customHeight="1">
      <c r="A1599" s="190"/>
      <c r="C1599" s="193"/>
      <c r="E1599" s="193"/>
      <c r="G1599" s="193"/>
      <c r="O1599" s="339"/>
    </row>
    <row r="1600" spans="1:33" ht="14.25" customHeight="1">
      <c r="A1600" s="190"/>
      <c r="C1600" s="193" t="s">
        <v>75</v>
      </c>
      <c r="E1600" s="193"/>
      <c r="G1600" s="193"/>
      <c r="O1600" s="339"/>
    </row>
    <row r="1601" spans="1:16" ht="14.25" customHeight="1">
      <c r="A1601" s="190"/>
      <c r="B1601" s="191" t="s">
        <v>136</v>
      </c>
      <c r="C1601" s="192">
        <v>97.82</v>
      </c>
      <c r="D1601" s="191" t="s">
        <v>50</v>
      </c>
      <c r="E1601" s="193"/>
      <c r="G1601" s="193"/>
      <c r="O1601" s="339"/>
    </row>
    <row r="1602" spans="1:16" ht="14.25">
      <c r="A1602" s="190"/>
      <c r="C1602" s="193"/>
      <c r="E1602" s="193"/>
      <c r="G1602" s="193"/>
      <c r="O1602" s="339"/>
    </row>
    <row r="1603" spans="1:16">
      <c r="A1603" s="245" t="s">
        <v>1351</v>
      </c>
      <c r="B1603" s="544" t="s">
        <v>667</v>
      </c>
      <c r="C1603" s="550"/>
      <c r="D1603" s="550"/>
      <c r="E1603" s="550"/>
      <c r="F1603" s="550"/>
      <c r="G1603" s="550"/>
      <c r="H1603" s="550"/>
      <c r="I1603" s="550"/>
      <c r="J1603" s="550"/>
      <c r="K1603" s="550"/>
      <c r="L1603" s="550"/>
      <c r="M1603" s="550"/>
      <c r="N1603" s="550"/>
      <c r="O1603" s="252">
        <v>89511</v>
      </c>
      <c r="P1603" s="350"/>
    </row>
    <row r="1604" spans="1:16" ht="14.25" customHeight="1">
      <c r="A1604" s="190"/>
      <c r="C1604" s="193"/>
      <c r="E1604" s="193"/>
      <c r="G1604" s="193"/>
      <c r="O1604" s="339"/>
    </row>
    <row r="1605" spans="1:16" ht="14.25" customHeight="1">
      <c r="A1605" s="190"/>
      <c r="C1605" s="193" t="s">
        <v>75</v>
      </c>
      <c r="E1605" s="193"/>
      <c r="G1605" s="193"/>
      <c r="O1605" s="339"/>
    </row>
    <row r="1606" spans="1:16" ht="14.25" customHeight="1">
      <c r="A1606" s="190"/>
      <c r="B1606" s="191" t="s">
        <v>136</v>
      </c>
      <c r="C1606" s="192">
        <v>13.18</v>
      </c>
      <c r="D1606" s="191" t="s">
        <v>50</v>
      </c>
      <c r="E1606" s="193"/>
      <c r="G1606" s="193"/>
      <c r="O1606" s="339"/>
    </row>
    <row r="1607" spans="1:16" ht="14.25">
      <c r="A1607" s="190"/>
      <c r="C1607" s="193"/>
      <c r="E1607" s="193"/>
      <c r="G1607" s="193"/>
      <c r="O1607" s="339"/>
    </row>
    <row r="1608" spans="1:16">
      <c r="A1608" s="245" t="s">
        <v>1352</v>
      </c>
      <c r="B1608" s="544" t="s">
        <v>668</v>
      </c>
      <c r="C1608" s="550"/>
      <c r="D1608" s="550"/>
      <c r="E1608" s="550"/>
      <c r="F1608" s="550"/>
      <c r="G1608" s="550"/>
      <c r="H1608" s="550"/>
      <c r="I1608" s="550"/>
      <c r="J1608" s="550"/>
      <c r="K1608" s="550"/>
      <c r="L1608" s="550"/>
      <c r="M1608" s="550"/>
      <c r="N1608" s="550"/>
      <c r="O1608" s="252">
        <v>89512</v>
      </c>
      <c r="P1608" s="350"/>
    </row>
    <row r="1609" spans="1:16" ht="14.25" customHeight="1">
      <c r="A1609" s="190"/>
      <c r="C1609" s="193"/>
      <c r="E1609" s="193"/>
      <c r="G1609" s="193"/>
      <c r="O1609" s="339"/>
    </row>
    <row r="1610" spans="1:16" ht="14.25" customHeight="1">
      <c r="A1610" s="190"/>
      <c r="C1610" s="193" t="s">
        <v>75</v>
      </c>
      <c r="E1610" s="193"/>
      <c r="G1610" s="193"/>
      <c r="O1610" s="339"/>
    </row>
    <row r="1611" spans="1:16" ht="14.25" customHeight="1">
      <c r="A1611" s="190"/>
      <c r="B1611" s="191" t="s">
        <v>136</v>
      </c>
      <c r="C1611" s="192">
        <v>160.07</v>
      </c>
      <c r="D1611" s="191" t="s">
        <v>50</v>
      </c>
      <c r="E1611" s="193"/>
      <c r="G1611" s="193"/>
      <c r="O1611" s="339"/>
    </row>
    <row r="1612" spans="1:16" ht="14.25">
      <c r="A1612" s="190"/>
      <c r="C1612" s="193"/>
      <c r="E1612" s="193"/>
      <c r="G1612" s="193"/>
      <c r="O1612" s="339"/>
    </row>
    <row r="1613" spans="1:16">
      <c r="A1613" s="245" t="s">
        <v>1353</v>
      </c>
      <c r="B1613" s="544" t="s">
        <v>1294</v>
      </c>
      <c r="C1613" s="550"/>
      <c r="D1613" s="550"/>
      <c r="E1613" s="550"/>
      <c r="F1613" s="550"/>
      <c r="G1613" s="550"/>
      <c r="H1613" s="550"/>
      <c r="I1613" s="550"/>
      <c r="J1613" s="550"/>
      <c r="K1613" s="550"/>
      <c r="L1613" s="550"/>
      <c r="M1613" s="550"/>
      <c r="N1613" s="550"/>
      <c r="O1613" s="252">
        <v>90696</v>
      </c>
      <c r="P1613" s="350"/>
    </row>
    <row r="1614" spans="1:16" ht="14.25" customHeight="1">
      <c r="A1614" s="190"/>
      <c r="C1614" s="193"/>
      <c r="E1614" s="193"/>
      <c r="G1614" s="193"/>
      <c r="O1614" s="339"/>
    </row>
    <row r="1615" spans="1:16" ht="14.25" customHeight="1">
      <c r="A1615" s="190"/>
      <c r="C1615" s="193" t="s">
        <v>75</v>
      </c>
      <c r="E1615" s="193"/>
      <c r="G1615" s="193"/>
      <c r="O1615" s="339"/>
    </row>
    <row r="1616" spans="1:16" ht="14.25" customHeight="1">
      <c r="A1616" s="190"/>
      <c r="B1616" s="191" t="s">
        <v>136</v>
      </c>
      <c r="C1616" s="192">
        <v>10.9</v>
      </c>
      <c r="D1616" s="191" t="s">
        <v>50</v>
      </c>
      <c r="E1616" s="193"/>
      <c r="G1616" s="193"/>
      <c r="O1616" s="339"/>
    </row>
    <row r="1617" spans="1:17" ht="15" customHeight="1">
      <c r="A1617" s="190"/>
      <c r="C1617" s="193"/>
      <c r="E1617" s="193"/>
      <c r="G1617" s="193"/>
      <c r="O1617" s="339"/>
    </row>
    <row r="1618" spans="1:17" ht="14.25" customHeight="1">
      <c r="A1618" s="245" t="s">
        <v>1354</v>
      </c>
      <c r="B1618" s="544" t="s">
        <v>669</v>
      </c>
      <c r="C1618" s="544"/>
      <c r="D1618" s="544"/>
      <c r="E1618" s="544"/>
      <c r="F1618" s="544"/>
      <c r="G1618" s="544"/>
      <c r="H1618" s="544"/>
      <c r="I1618" s="544"/>
      <c r="J1618" s="544"/>
      <c r="K1618" s="544"/>
      <c r="L1618" s="544"/>
      <c r="M1618" s="544"/>
      <c r="N1618" s="544"/>
      <c r="O1618" s="386" t="s">
        <v>670</v>
      </c>
      <c r="P1618" s="350"/>
    </row>
    <row r="1619" spans="1:17" ht="14.25" customHeight="1">
      <c r="A1619" s="190"/>
      <c r="C1619" s="193"/>
      <c r="E1619" s="193"/>
      <c r="G1619" s="193"/>
      <c r="O1619" s="339"/>
    </row>
    <row r="1620" spans="1:17" ht="14.25" customHeight="1">
      <c r="A1620" s="190"/>
      <c r="C1620" s="193" t="s">
        <v>87</v>
      </c>
      <c r="E1620" s="193"/>
      <c r="G1620" s="193"/>
      <c r="O1620" s="339"/>
    </row>
    <row r="1621" spans="1:17" ht="14.25" customHeight="1">
      <c r="A1621" s="190"/>
      <c r="B1621" s="191" t="s">
        <v>92</v>
      </c>
      <c r="C1621" s="192">
        <v>11</v>
      </c>
      <c r="D1621" s="191" t="s">
        <v>82</v>
      </c>
      <c r="E1621" s="193"/>
      <c r="G1621" s="193"/>
      <c r="O1621" s="339"/>
    </row>
    <row r="1622" spans="1:17" ht="14.25" customHeight="1">
      <c r="A1622" s="190"/>
      <c r="C1622" s="193"/>
      <c r="E1622" s="193"/>
      <c r="G1622" s="193"/>
      <c r="P1622" s="339"/>
      <c r="Q1622" s="129"/>
    </row>
    <row r="1623" spans="1:17" ht="14.25" customHeight="1">
      <c r="A1623" s="245" t="s">
        <v>1355</v>
      </c>
      <c r="B1623" s="544" t="s">
        <v>1296</v>
      </c>
      <c r="C1623" s="544"/>
      <c r="D1623" s="544"/>
      <c r="E1623" s="544"/>
      <c r="F1623" s="544"/>
      <c r="G1623" s="544"/>
      <c r="H1623" s="544"/>
      <c r="I1623" s="544"/>
      <c r="J1623" s="544"/>
      <c r="K1623" s="544"/>
      <c r="L1623" s="544"/>
      <c r="M1623" s="544"/>
      <c r="N1623" s="544"/>
      <c r="O1623" s="386" t="s">
        <v>1295</v>
      </c>
      <c r="P1623" s="350"/>
    </row>
    <row r="1624" spans="1:17" ht="14.25" customHeight="1">
      <c r="A1624" s="190"/>
      <c r="C1624" s="193"/>
      <c r="E1624" s="193"/>
      <c r="G1624" s="193"/>
      <c r="O1624" s="339"/>
    </row>
    <row r="1625" spans="1:17" ht="14.25" customHeight="1">
      <c r="A1625" s="190"/>
      <c r="C1625" s="193" t="s">
        <v>87</v>
      </c>
      <c r="E1625" s="193"/>
      <c r="G1625" s="193"/>
      <c r="O1625" s="339"/>
    </row>
    <row r="1626" spans="1:17" ht="14.25" customHeight="1">
      <c r="A1626" s="190"/>
      <c r="B1626" s="191" t="s">
        <v>92</v>
      </c>
      <c r="C1626" s="192">
        <v>10</v>
      </c>
      <c r="D1626" s="191" t="s">
        <v>82</v>
      </c>
      <c r="E1626" s="193"/>
      <c r="G1626" s="193"/>
      <c r="O1626" s="339"/>
    </row>
    <row r="1627" spans="1:17" ht="14.25" customHeight="1">
      <c r="A1627" s="190"/>
      <c r="C1627" s="193"/>
      <c r="E1627" s="193"/>
      <c r="G1627" s="193"/>
      <c r="P1627" s="339"/>
      <c r="Q1627" s="129"/>
    </row>
    <row r="1628" spans="1:17" ht="14.25" customHeight="1">
      <c r="A1628" s="245" t="s">
        <v>1356</v>
      </c>
      <c r="B1628" s="544" t="s">
        <v>671</v>
      </c>
      <c r="C1628" s="544"/>
      <c r="D1628" s="544"/>
      <c r="E1628" s="544"/>
      <c r="F1628" s="544"/>
      <c r="G1628" s="544"/>
      <c r="H1628" s="544"/>
      <c r="I1628" s="544"/>
      <c r="J1628" s="544"/>
      <c r="K1628" s="544"/>
      <c r="L1628" s="544"/>
      <c r="M1628" s="544"/>
      <c r="N1628" s="544"/>
      <c r="O1628" s="386" t="s">
        <v>672</v>
      </c>
      <c r="P1628" s="350"/>
    </row>
    <row r="1629" spans="1:17" ht="14.25" customHeight="1">
      <c r="A1629" s="190"/>
      <c r="C1629" s="193"/>
      <c r="E1629" s="193"/>
      <c r="G1629" s="193"/>
      <c r="O1629" s="339"/>
    </row>
    <row r="1630" spans="1:17" ht="14.25" customHeight="1">
      <c r="A1630" s="190"/>
      <c r="C1630" s="193" t="s">
        <v>87</v>
      </c>
      <c r="E1630" s="193"/>
      <c r="G1630" s="193"/>
      <c r="O1630" s="339"/>
    </row>
    <row r="1631" spans="1:17" ht="14.25" customHeight="1">
      <c r="A1631" s="190"/>
      <c r="B1631" s="191" t="s">
        <v>92</v>
      </c>
      <c r="C1631" s="192">
        <f>8+1+11</f>
        <v>20</v>
      </c>
      <c r="D1631" s="191" t="s">
        <v>82</v>
      </c>
      <c r="E1631" s="193"/>
      <c r="G1631" s="193"/>
      <c r="O1631" s="339"/>
    </row>
    <row r="1632" spans="1:17" ht="14.25" customHeight="1">
      <c r="A1632" s="190"/>
      <c r="C1632" s="193"/>
      <c r="E1632" s="193"/>
      <c r="G1632" s="193"/>
      <c r="P1632" s="339"/>
      <c r="Q1632" s="129"/>
    </row>
    <row r="1633" spans="1:17">
      <c r="A1633" s="247" t="s">
        <v>1368</v>
      </c>
      <c r="B1633" s="555" t="s">
        <v>618</v>
      </c>
      <c r="C1633" s="555"/>
      <c r="D1633" s="555"/>
      <c r="E1633" s="555"/>
      <c r="F1633" s="555"/>
      <c r="G1633" s="555"/>
      <c r="H1633" s="555"/>
      <c r="I1633" s="555"/>
      <c r="J1633" s="555"/>
      <c r="K1633" s="555"/>
      <c r="L1633" s="555"/>
      <c r="M1633" s="555"/>
      <c r="N1633" s="555"/>
      <c r="O1633" s="367">
        <v>89739</v>
      </c>
      <c r="P1633" s="361"/>
    </row>
    <row r="1634" spans="1:17" ht="14.25" customHeight="1">
      <c r="A1634" s="190"/>
      <c r="C1634" s="193"/>
      <c r="E1634" s="193"/>
      <c r="G1634" s="193"/>
      <c r="O1634" s="339"/>
    </row>
    <row r="1635" spans="1:17" ht="14.25" customHeight="1">
      <c r="A1635" s="190"/>
      <c r="C1635" s="193" t="s">
        <v>87</v>
      </c>
      <c r="E1635" s="193"/>
      <c r="G1635" s="193"/>
      <c r="O1635" s="339"/>
    </row>
    <row r="1636" spans="1:17" ht="14.25" customHeight="1">
      <c r="A1636" s="190"/>
      <c r="B1636" s="191" t="s">
        <v>92</v>
      </c>
      <c r="C1636" s="192">
        <f>5+1+2</f>
        <v>8</v>
      </c>
      <c r="D1636" s="191" t="s">
        <v>82</v>
      </c>
      <c r="E1636" s="193"/>
      <c r="G1636" s="193"/>
      <c r="O1636" s="339"/>
    </row>
    <row r="1637" spans="1:17" ht="14.25">
      <c r="A1637" s="190"/>
      <c r="C1637" s="193"/>
      <c r="E1637" s="193"/>
      <c r="G1637" s="193"/>
      <c r="O1637" s="339"/>
    </row>
    <row r="1638" spans="1:17">
      <c r="A1638" s="247" t="s">
        <v>1357</v>
      </c>
      <c r="B1638" s="555" t="s">
        <v>620</v>
      </c>
      <c r="C1638" s="555"/>
      <c r="D1638" s="555"/>
      <c r="E1638" s="555"/>
      <c r="F1638" s="555"/>
      <c r="G1638" s="555"/>
      <c r="H1638" s="555"/>
      <c r="I1638" s="555"/>
      <c r="J1638" s="555"/>
      <c r="K1638" s="555"/>
      <c r="L1638" s="555"/>
      <c r="M1638" s="555"/>
      <c r="N1638" s="555"/>
      <c r="O1638" s="367">
        <v>89746</v>
      </c>
      <c r="P1638" s="361"/>
    </row>
    <row r="1639" spans="1:17" ht="14.25" customHeight="1">
      <c r="A1639" s="190"/>
      <c r="C1639" s="193"/>
      <c r="E1639" s="193"/>
      <c r="G1639" s="193"/>
      <c r="O1639" s="339"/>
    </row>
    <row r="1640" spans="1:17" ht="14.25" customHeight="1">
      <c r="A1640" s="190"/>
      <c r="C1640" s="193" t="s">
        <v>87</v>
      </c>
      <c r="E1640" s="193"/>
      <c r="G1640" s="193"/>
      <c r="O1640" s="339"/>
    </row>
    <row r="1641" spans="1:17" ht="14.25" customHeight="1">
      <c r="A1641" s="190"/>
      <c r="B1641" s="191" t="s">
        <v>92</v>
      </c>
      <c r="C1641" s="192">
        <f>1+5+16</f>
        <v>22</v>
      </c>
      <c r="D1641" s="191" t="s">
        <v>82</v>
      </c>
      <c r="E1641" s="193"/>
      <c r="G1641" s="193"/>
      <c r="O1641" s="339"/>
    </row>
    <row r="1642" spans="1:17" ht="14.25">
      <c r="A1642" s="190"/>
      <c r="C1642" s="193"/>
      <c r="E1642" s="193"/>
      <c r="G1642" s="193"/>
      <c r="O1642" s="339"/>
    </row>
    <row r="1643" spans="1:17" ht="14.25" customHeight="1">
      <c r="A1643" s="245" t="s">
        <v>1358</v>
      </c>
      <c r="B1643" s="553" t="s">
        <v>673</v>
      </c>
      <c r="C1643" s="553"/>
      <c r="D1643" s="553"/>
      <c r="E1643" s="553"/>
      <c r="F1643" s="553"/>
      <c r="G1643" s="553"/>
      <c r="H1643" s="553"/>
      <c r="I1643" s="553"/>
      <c r="J1643" s="553"/>
      <c r="K1643" s="553"/>
      <c r="L1643" s="553"/>
      <c r="M1643" s="553"/>
      <c r="N1643" s="553"/>
      <c r="O1643" s="386" t="s">
        <v>674</v>
      </c>
      <c r="P1643" s="350"/>
    </row>
    <row r="1644" spans="1:17" ht="14.25" customHeight="1">
      <c r="A1644" s="190"/>
      <c r="C1644" s="193"/>
      <c r="E1644" s="193"/>
      <c r="G1644" s="193"/>
      <c r="O1644" s="339"/>
    </row>
    <row r="1645" spans="1:17" ht="14.25" customHeight="1">
      <c r="A1645" s="190"/>
      <c r="C1645" s="193" t="s">
        <v>87</v>
      </c>
      <c r="E1645" s="193"/>
      <c r="G1645" s="193"/>
      <c r="O1645" s="339"/>
    </row>
    <row r="1646" spans="1:17" ht="14.25" customHeight="1">
      <c r="A1646" s="190"/>
      <c r="B1646" s="191" t="s">
        <v>92</v>
      </c>
      <c r="C1646" s="192">
        <v>1</v>
      </c>
      <c r="D1646" s="191" t="s">
        <v>82</v>
      </c>
      <c r="E1646" s="193"/>
      <c r="G1646" s="193"/>
      <c r="O1646" s="339"/>
    </row>
    <row r="1647" spans="1:17" ht="14.25" customHeight="1">
      <c r="A1647" s="190"/>
      <c r="C1647" s="193"/>
      <c r="E1647" s="193"/>
      <c r="G1647" s="193"/>
      <c r="P1647" s="339"/>
      <c r="Q1647" s="129"/>
    </row>
    <row r="1648" spans="1:17">
      <c r="A1648" s="247" t="s">
        <v>1359</v>
      </c>
      <c r="B1648" s="555" t="s">
        <v>626</v>
      </c>
      <c r="C1648" s="555"/>
      <c r="D1648" s="555"/>
      <c r="E1648" s="555"/>
      <c r="F1648" s="555"/>
      <c r="G1648" s="555"/>
      <c r="H1648" s="555"/>
      <c r="I1648" s="555"/>
      <c r="J1648" s="555"/>
      <c r="K1648" s="555"/>
      <c r="L1648" s="555"/>
      <c r="M1648" s="555"/>
      <c r="N1648" s="555"/>
      <c r="O1648" s="367">
        <v>89737</v>
      </c>
      <c r="P1648" s="361"/>
    </row>
    <row r="1649" spans="1:18" ht="14.25" customHeight="1">
      <c r="A1649" s="190"/>
      <c r="C1649" s="193"/>
      <c r="E1649" s="193"/>
      <c r="G1649" s="193"/>
      <c r="O1649" s="379"/>
    </row>
    <row r="1650" spans="1:18" ht="14.25">
      <c r="A1650" s="190"/>
      <c r="C1650" s="193" t="s">
        <v>87</v>
      </c>
      <c r="E1650" s="193"/>
      <c r="G1650" s="193"/>
      <c r="O1650" s="339"/>
    </row>
    <row r="1651" spans="1:18">
      <c r="A1651" s="190"/>
      <c r="B1651" s="191" t="s">
        <v>92</v>
      </c>
      <c r="C1651" s="192">
        <v>1</v>
      </c>
      <c r="D1651" s="191" t="s">
        <v>82</v>
      </c>
      <c r="E1651" s="193"/>
      <c r="G1651" s="193"/>
      <c r="O1651" s="379"/>
    </row>
    <row r="1652" spans="1:18" ht="14.25">
      <c r="A1652" s="190"/>
      <c r="C1652" s="193"/>
      <c r="E1652" s="193"/>
      <c r="G1652" s="193"/>
      <c r="O1652" s="379"/>
    </row>
    <row r="1653" spans="1:18">
      <c r="A1653" s="247" t="s">
        <v>1360</v>
      </c>
      <c r="B1653" s="555" t="s">
        <v>628</v>
      </c>
      <c r="C1653" s="555"/>
      <c r="D1653" s="555"/>
      <c r="E1653" s="555"/>
      <c r="F1653" s="555"/>
      <c r="G1653" s="555"/>
      <c r="H1653" s="555"/>
      <c r="I1653" s="555"/>
      <c r="J1653" s="555"/>
      <c r="K1653" s="555"/>
      <c r="L1653" s="555"/>
      <c r="M1653" s="555"/>
      <c r="N1653" s="555"/>
      <c r="O1653" s="367">
        <v>89744</v>
      </c>
      <c r="P1653" s="361"/>
    </row>
    <row r="1654" spans="1:18" ht="14.25" customHeight="1">
      <c r="A1654" s="190"/>
      <c r="C1654" s="193"/>
      <c r="E1654" s="193"/>
      <c r="G1654" s="193"/>
      <c r="O1654" s="379"/>
    </row>
    <row r="1655" spans="1:18" ht="14.25">
      <c r="A1655" s="190"/>
      <c r="C1655" s="193" t="s">
        <v>87</v>
      </c>
      <c r="E1655" s="193"/>
      <c r="G1655" s="193"/>
      <c r="O1655" s="339"/>
    </row>
    <row r="1656" spans="1:18">
      <c r="A1656" s="190"/>
      <c r="B1656" s="191" t="s">
        <v>92</v>
      </c>
      <c r="C1656" s="192">
        <v>1</v>
      </c>
      <c r="D1656" s="191" t="s">
        <v>82</v>
      </c>
      <c r="E1656" s="193"/>
      <c r="G1656" s="193"/>
      <c r="O1656" s="379"/>
    </row>
    <row r="1657" spans="1:18">
      <c r="A1657" s="190"/>
      <c r="B1657" s="191"/>
      <c r="C1657" s="192"/>
      <c r="D1657" s="191"/>
      <c r="E1657" s="193"/>
      <c r="G1657" s="193"/>
      <c r="O1657" s="379"/>
    </row>
    <row r="1658" spans="1:18">
      <c r="A1658" s="247" t="s">
        <v>1361</v>
      </c>
      <c r="B1658" s="555" t="s">
        <v>637</v>
      </c>
      <c r="C1658" s="555"/>
      <c r="D1658" s="555"/>
      <c r="E1658" s="555"/>
      <c r="F1658" s="555"/>
      <c r="G1658" s="555"/>
      <c r="H1658" s="555"/>
      <c r="I1658" s="555"/>
      <c r="J1658" s="555"/>
      <c r="K1658" s="555"/>
      <c r="L1658" s="555"/>
      <c r="M1658" s="555"/>
      <c r="N1658" s="555"/>
      <c r="O1658" s="367">
        <v>89797</v>
      </c>
      <c r="P1658" s="361"/>
    </row>
    <row r="1659" spans="1:18" ht="14.25" customHeight="1">
      <c r="A1659" s="190"/>
      <c r="C1659" s="193"/>
      <c r="E1659" s="193"/>
      <c r="G1659" s="193"/>
      <c r="O1659" s="379"/>
    </row>
    <row r="1660" spans="1:18" ht="14.25">
      <c r="A1660" s="190"/>
      <c r="C1660" s="193" t="s">
        <v>87</v>
      </c>
      <c r="E1660" s="193"/>
      <c r="G1660" s="193"/>
      <c r="O1660" s="339"/>
    </row>
    <row r="1661" spans="1:18">
      <c r="A1661" s="190"/>
      <c r="B1661" s="191" t="s">
        <v>92</v>
      </c>
      <c r="C1661" s="192">
        <v>1</v>
      </c>
      <c r="D1661" s="191" t="s">
        <v>82</v>
      </c>
      <c r="E1661" s="192"/>
      <c r="G1661" s="193"/>
      <c r="O1661" s="379"/>
    </row>
    <row r="1662" spans="1:18" ht="14.25" customHeight="1">
      <c r="A1662" s="190"/>
      <c r="C1662" s="193"/>
      <c r="E1662" s="193"/>
      <c r="G1662" s="193"/>
      <c r="O1662" s="379"/>
      <c r="Q1662" s="129"/>
      <c r="R1662" s="129"/>
    </row>
    <row r="1663" spans="1:18">
      <c r="A1663" s="247" t="s">
        <v>1362</v>
      </c>
      <c r="B1663" s="555" t="s">
        <v>641</v>
      </c>
      <c r="C1663" s="555"/>
      <c r="D1663" s="555"/>
      <c r="E1663" s="555"/>
      <c r="F1663" s="555"/>
      <c r="G1663" s="555"/>
      <c r="H1663" s="555"/>
      <c r="I1663" s="555"/>
      <c r="J1663" s="555"/>
      <c r="K1663" s="555"/>
      <c r="L1663" s="555"/>
      <c r="M1663" s="555"/>
      <c r="N1663" s="555"/>
      <c r="O1663" s="367">
        <v>89774</v>
      </c>
      <c r="P1663" s="361"/>
    </row>
    <row r="1664" spans="1:18" ht="14.25" customHeight="1">
      <c r="A1664" s="190"/>
      <c r="C1664" s="193"/>
      <c r="E1664" s="193"/>
      <c r="G1664" s="193"/>
      <c r="O1664" s="339"/>
    </row>
    <row r="1665" spans="1:33" ht="14.25" customHeight="1">
      <c r="A1665" s="190"/>
      <c r="C1665" s="193" t="s">
        <v>87</v>
      </c>
      <c r="E1665" s="193"/>
      <c r="G1665" s="193"/>
      <c r="O1665" s="339"/>
    </row>
    <row r="1666" spans="1:33" ht="14.25" customHeight="1">
      <c r="A1666" s="190"/>
      <c r="B1666" s="191" t="s">
        <v>92</v>
      </c>
      <c r="C1666" s="192">
        <f>1+8</f>
        <v>9</v>
      </c>
      <c r="D1666" s="191" t="s">
        <v>82</v>
      </c>
      <c r="E1666" s="193"/>
      <c r="G1666" s="193"/>
      <c r="O1666" s="339"/>
    </row>
    <row r="1667" spans="1:33" ht="14.25">
      <c r="A1667" s="190"/>
      <c r="C1667" s="193"/>
      <c r="E1667" s="193"/>
      <c r="G1667" s="193"/>
      <c r="O1667" s="339"/>
    </row>
    <row r="1668" spans="1:33">
      <c r="A1668" s="247" t="s">
        <v>1363</v>
      </c>
      <c r="B1668" s="555" t="s">
        <v>643</v>
      </c>
      <c r="C1668" s="555"/>
      <c r="D1668" s="555"/>
      <c r="E1668" s="555"/>
      <c r="F1668" s="555"/>
      <c r="G1668" s="555"/>
      <c r="H1668" s="555"/>
      <c r="I1668" s="555"/>
      <c r="J1668" s="555"/>
      <c r="K1668" s="555"/>
      <c r="L1668" s="555"/>
      <c r="M1668" s="555"/>
      <c r="N1668" s="555"/>
      <c r="O1668" s="367">
        <v>89778</v>
      </c>
      <c r="P1668" s="361"/>
    </row>
    <row r="1669" spans="1:33" ht="14.25" customHeight="1">
      <c r="A1669" s="190"/>
      <c r="C1669" s="193"/>
      <c r="E1669" s="193"/>
      <c r="G1669" s="193"/>
      <c r="O1669" s="339"/>
    </row>
    <row r="1670" spans="1:33" ht="14.25" customHeight="1">
      <c r="A1670" s="190"/>
      <c r="C1670" s="193" t="s">
        <v>87</v>
      </c>
      <c r="E1670" s="193"/>
      <c r="G1670" s="193"/>
      <c r="O1670" s="339"/>
    </row>
    <row r="1671" spans="1:33" ht="14.25" customHeight="1">
      <c r="A1671" s="190"/>
      <c r="B1671" s="191" t="s">
        <v>92</v>
      </c>
      <c r="C1671" s="192">
        <f>1+22</f>
        <v>23</v>
      </c>
      <c r="D1671" s="191" t="s">
        <v>82</v>
      </c>
      <c r="E1671" s="193"/>
      <c r="G1671" s="193"/>
      <c r="O1671" s="339"/>
    </row>
    <row r="1672" spans="1:33" ht="14.25">
      <c r="A1672" s="190"/>
      <c r="C1672" s="193"/>
      <c r="E1672" s="193"/>
      <c r="G1672" s="193"/>
      <c r="O1672" s="339"/>
    </row>
    <row r="1673" spans="1:33">
      <c r="A1673" s="247" t="s">
        <v>1364</v>
      </c>
      <c r="B1673" s="555" t="s">
        <v>1293</v>
      </c>
      <c r="C1673" s="555"/>
      <c r="D1673" s="555"/>
      <c r="E1673" s="555"/>
      <c r="F1673" s="555"/>
      <c r="G1673" s="555"/>
      <c r="H1673" s="555"/>
      <c r="I1673" s="555"/>
      <c r="J1673" s="555"/>
      <c r="K1673" s="555"/>
      <c r="L1673" s="555"/>
      <c r="M1673" s="555"/>
      <c r="N1673" s="555"/>
      <c r="O1673" s="367">
        <v>89860</v>
      </c>
      <c r="P1673" s="361"/>
    </row>
    <row r="1674" spans="1:33" ht="14.25" customHeight="1">
      <c r="A1674" s="190"/>
      <c r="C1674" s="193"/>
      <c r="E1674" s="193"/>
      <c r="G1674" s="193"/>
      <c r="O1674" s="379"/>
    </row>
    <row r="1675" spans="1:33" ht="14.25">
      <c r="A1675" s="190"/>
      <c r="C1675" s="193" t="s">
        <v>87</v>
      </c>
      <c r="E1675" s="193"/>
      <c r="G1675" s="193"/>
      <c r="O1675" s="339"/>
    </row>
    <row r="1676" spans="1:33">
      <c r="A1676" s="190"/>
      <c r="B1676" s="191" t="s">
        <v>92</v>
      </c>
      <c r="C1676" s="192">
        <v>1</v>
      </c>
      <c r="D1676" s="191" t="s">
        <v>82</v>
      </c>
      <c r="E1676" s="193"/>
      <c r="G1676" s="193"/>
      <c r="O1676" s="379"/>
    </row>
    <row r="1677" spans="1:33" ht="14.25">
      <c r="A1677" s="190"/>
      <c r="C1677" s="193"/>
      <c r="E1677" s="193"/>
      <c r="G1677" s="193"/>
      <c r="O1677" s="379"/>
    </row>
    <row r="1678" spans="1:33">
      <c r="A1678" s="245" t="s">
        <v>1365</v>
      </c>
      <c r="B1678" s="553" t="s">
        <v>561</v>
      </c>
      <c r="C1678" s="550"/>
      <c r="D1678" s="550"/>
      <c r="E1678" s="550"/>
      <c r="F1678" s="550"/>
      <c r="G1678" s="550"/>
      <c r="H1678" s="550"/>
      <c r="I1678" s="550"/>
      <c r="J1678" s="550"/>
      <c r="K1678" s="550"/>
      <c r="L1678" s="550"/>
      <c r="M1678" s="550"/>
      <c r="N1678" s="550"/>
      <c r="O1678" s="252">
        <v>89385</v>
      </c>
      <c r="P1678" s="350"/>
      <c r="Q1678" s="129"/>
      <c r="R1678" s="129"/>
      <c r="S1678" s="129"/>
      <c r="T1678" s="129"/>
      <c r="U1678" s="129"/>
      <c r="V1678" s="129"/>
      <c r="W1678" s="129"/>
      <c r="X1678" s="129"/>
      <c r="Y1678" s="129"/>
      <c r="Z1678" s="129"/>
      <c r="AA1678" s="129"/>
      <c r="AB1678" s="129"/>
      <c r="AC1678" s="129"/>
      <c r="AD1678" s="129"/>
      <c r="AE1678" s="129"/>
      <c r="AF1678" s="129"/>
      <c r="AG1678" s="129"/>
    </row>
    <row r="1679" spans="1:33" ht="14.25">
      <c r="A1679" s="186"/>
      <c r="B1679" s="129"/>
      <c r="C1679" s="187"/>
      <c r="D1679" s="129"/>
      <c r="E1679" s="187"/>
      <c r="F1679" s="129"/>
      <c r="G1679" s="187"/>
      <c r="H1679" s="129"/>
      <c r="I1679" s="129"/>
      <c r="J1679" s="129"/>
      <c r="K1679" s="129"/>
      <c r="L1679" s="129"/>
      <c r="M1679" s="129"/>
      <c r="N1679" s="129"/>
      <c r="O1679" s="346"/>
      <c r="P1679" s="347"/>
    </row>
    <row r="1680" spans="1:33" ht="14.25">
      <c r="A1680" s="190"/>
      <c r="C1680" s="193" t="s">
        <v>525</v>
      </c>
      <c r="E1680" s="193"/>
      <c r="G1680" s="193"/>
      <c r="O1680" s="379"/>
    </row>
    <row r="1681" spans="1:16" ht="14.25" customHeight="1">
      <c r="A1681" s="186"/>
      <c r="B1681" s="191" t="s">
        <v>92</v>
      </c>
      <c r="C1681" s="200">
        <v>1</v>
      </c>
      <c r="D1681" s="261" t="s">
        <v>82</v>
      </c>
      <c r="E1681" s="187"/>
      <c r="F1681" s="129"/>
      <c r="G1681" s="187"/>
      <c r="H1681" s="129"/>
      <c r="I1681" s="129"/>
      <c r="J1681" s="129"/>
      <c r="K1681" s="129"/>
      <c r="L1681" s="129"/>
      <c r="M1681" s="129"/>
      <c r="N1681" s="129"/>
      <c r="O1681" s="346"/>
      <c r="P1681" s="347"/>
    </row>
    <row r="1682" spans="1:16" ht="14.25" customHeight="1">
      <c r="A1682" s="186"/>
      <c r="B1682" s="191"/>
      <c r="C1682" s="200"/>
      <c r="D1682" s="261"/>
      <c r="E1682" s="187"/>
      <c r="F1682" s="129"/>
      <c r="G1682" s="187"/>
      <c r="H1682" s="129"/>
      <c r="I1682" s="129"/>
      <c r="J1682" s="129"/>
      <c r="K1682" s="129"/>
      <c r="L1682" s="129"/>
      <c r="M1682" s="129"/>
      <c r="N1682" s="129"/>
      <c r="O1682" s="346"/>
      <c r="P1682" s="347"/>
    </row>
    <row r="1683" spans="1:16" ht="14.25" customHeight="1">
      <c r="A1683" s="188" t="s">
        <v>173</v>
      </c>
      <c r="B1683" s="551" t="s">
        <v>61</v>
      </c>
      <c r="C1683" s="552"/>
      <c r="D1683" s="552"/>
      <c r="E1683" s="552"/>
      <c r="F1683" s="552"/>
      <c r="G1683" s="552"/>
      <c r="H1683" s="552"/>
      <c r="I1683" s="552"/>
      <c r="J1683" s="552"/>
      <c r="K1683" s="552"/>
      <c r="L1683" s="552"/>
      <c r="M1683" s="552"/>
      <c r="N1683" s="552"/>
      <c r="O1683" s="346"/>
      <c r="P1683" s="347"/>
    </row>
    <row r="1684" spans="1:16" ht="14.25" customHeight="1">
      <c r="A1684" s="190"/>
      <c r="C1684" s="193"/>
      <c r="E1684" s="193"/>
      <c r="G1684" s="193"/>
      <c r="O1684" s="339"/>
    </row>
    <row r="1685" spans="1:16">
      <c r="A1685" s="245" t="s">
        <v>240</v>
      </c>
      <c r="B1685" s="544" t="s">
        <v>178</v>
      </c>
      <c r="C1685" s="550"/>
      <c r="D1685" s="550"/>
      <c r="E1685" s="550"/>
      <c r="F1685" s="550"/>
      <c r="G1685" s="550"/>
      <c r="H1685" s="550"/>
      <c r="I1685" s="550"/>
      <c r="J1685" s="550"/>
      <c r="K1685" s="550"/>
      <c r="L1685" s="550"/>
      <c r="M1685" s="550"/>
      <c r="N1685" s="550"/>
      <c r="O1685" s="252">
        <v>100860</v>
      </c>
      <c r="P1685" s="350"/>
    </row>
    <row r="1686" spans="1:16" ht="14.25" customHeight="1">
      <c r="A1686" s="195"/>
      <c r="B1686" s="263"/>
      <c r="C1686" s="196"/>
      <c r="D1686" s="196"/>
      <c r="E1686" s="196"/>
      <c r="F1686" s="196"/>
      <c r="G1686" s="196"/>
      <c r="H1686" s="196"/>
      <c r="I1686" s="196"/>
      <c r="J1686" s="196"/>
      <c r="K1686" s="196"/>
      <c r="L1686" s="196"/>
      <c r="M1686" s="196"/>
      <c r="N1686" s="196"/>
      <c r="O1686" s="252"/>
      <c r="P1686" s="350"/>
    </row>
    <row r="1687" spans="1:16" ht="14.25" customHeight="1">
      <c r="A1687" s="190"/>
      <c r="C1687" s="193" t="s">
        <v>87</v>
      </c>
      <c r="E1687" s="193"/>
      <c r="G1687" s="193"/>
      <c r="O1687" s="339"/>
    </row>
    <row r="1688" spans="1:16" ht="14.25" customHeight="1">
      <c r="A1688" s="190"/>
      <c r="B1688" s="128" t="s">
        <v>1231</v>
      </c>
      <c r="C1688" s="193">
        <v>2</v>
      </c>
      <c r="D1688" s="128" t="s">
        <v>82</v>
      </c>
      <c r="E1688" s="193"/>
      <c r="G1688" s="193"/>
      <c r="O1688" s="339"/>
    </row>
    <row r="1689" spans="1:16" ht="14.25" customHeight="1">
      <c r="A1689" s="190"/>
      <c r="B1689" s="128" t="s">
        <v>1232</v>
      </c>
      <c r="C1689" s="193">
        <f>2*3</f>
        <v>6</v>
      </c>
      <c r="D1689" s="128" t="s">
        <v>82</v>
      </c>
      <c r="E1689" s="193"/>
      <c r="G1689" s="193"/>
      <c r="O1689" s="339"/>
    </row>
    <row r="1690" spans="1:16" ht="14.25" customHeight="1">
      <c r="A1690" s="190"/>
      <c r="C1690" s="193"/>
      <c r="E1690" s="193"/>
      <c r="G1690" s="193"/>
      <c r="O1690" s="339"/>
    </row>
    <row r="1691" spans="1:16" ht="14.25" customHeight="1">
      <c r="A1691" s="190"/>
      <c r="B1691" s="191" t="s">
        <v>92</v>
      </c>
      <c r="C1691" s="192">
        <f>SUM(C1688:C1689)</f>
        <v>8</v>
      </c>
      <c r="D1691" s="191" t="s">
        <v>82</v>
      </c>
      <c r="E1691" s="193"/>
      <c r="G1691" s="193"/>
      <c r="O1691" s="339"/>
    </row>
    <row r="1692" spans="1:16" ht="14.25">
      <c r="A1692" s="190"/>
      <c r="C1692" s="193"/>
      <c r="E1692" s="193"/>
      <c r="G1692" s="193"/>
      <c r="O1692" s="339"/>
    </row>
    <row r="1693" spans="1:16">
      <c r="A1693" s="245" t="s">
        <v>241</v>
      </c>
      <c r="B1693" s="544" t="s">
        <v>1100</v>
      </c>
      <c r="C1693" s="544"/>
      <c r="D1693" s="544"/>
      <c r="E1693" s="544"/>
      <c r="F1693" s="544"/>
      <c r="G1693" s="544"/>
      <c r="H1693" s="544"/>
      <c r="I1693" s="544"/>
      <c r="J1693" s="544"/>
      <c r="K1693" s="544"/>
      <c r="L1693" s="544"/>
      <c r="M1693" s="544"/>
      <c r="N1693" s="544"/>
      <c r="O1693" s="252">
        <v>100848</v>
      </c>
      <c r="P1693" s="350"/>
    </row>
    <row r="1694" spans="1:16" ht="14.25" customHeight="1">
      <c r="A1694" s="190"/>
      <c r="C1694" s="193"/>
      <c r="E1694" s="193"/>
      <c r="G1694" s="193"/>
      <c r="O1694" s="339"/>
    </row>
    <row r="1695" spans="1:16" ht="14.25" customHeight="1">
      <c r="A1695" s="190"/>
      <c r="C1695" s="193" t="s">
        <v>87</v>
      </c>
      <c r="E1695" s="193"/>
      <c r="G1695" s="193"/>
      <c r="O1695" s="339"/>
    </row>
    <row r="1696" spans="1:16" ht="14.25" customHeight="1">
      <c r="A1696" s="190"/>
      <c r="B1696" s="128" t="s">
        <v>1234</v>
      </c>
      <c r="C1696" s="193">
        <f>2+3+4+4</f>
        <v>13</v>
      </c>
      <c r="D1696" s="128" t="s">
        <v>82</v>
      </c>
      <c r="E1696" s="193"/>
      <c r="G1696" s="193"/>
      <c r="O1696" s="339"/>
    </row>
    <row r="1697" spans="1:16" ht="14.25" customHeight="1">
      <c r="A1697" s="190"/>
      <c r="C1697" s="193"/>
      <c r="E1697" s="193"/>
      <c r="G1697" s="193"/>
      <c r="O1697" s="339"/>
    </row>
    <row r="1698" spans="1:16" ht="14.25" customHeight="1">
      <c r="A1698" s="190"/>
      <c r="B1698" s="191" t="s">
        <v>92</v>
      </c>
      <c r="C1698" s="192">
        <f>C1696</f>
        <v>13</v>
      </c>
      <c r="D1698" s="191" t="s">
        <v>82</v>
      </c>
      <c r="E1698" s="193"/>
      <c r="G1698" s="193"/>
      <c r="O1698" s="339"/>
    </row>
    <row r="1699" spans="1:16" ht="14.25">
      <c r="A1699" s="190"/>
      <c r="C1699" s="193"/>
      <c r="E1699" s="193"/>
      <c r="G1699" s="193"/>
      <c r="O1699" s="339"/>
    </row>
    <row r="1700" spans="1:16">
      <c r="A1700" s="245" t="s">
        <v>242</v>
      </c>
      <c r="B1700" s="544" t="s">
        <v>373</v>
      </c>
      <c r="C1700" s="550"/>
      <c r="D1700" s="550"/>
      <c r="E1700" s="550"/>
      <c r="F1700" s="550"/>
      <c r="G1700" s="550"/>
      <c r="H1700" s="550"/>
      <c r="I1700" s="550"/>
      <c r="J1700" s="550"/>
      <c r="K1700" s="550"/>
      <c r="L1700" s="550"/>
      <c r="M1700" s="550"/>
      <c r="N1700" s="550"/>
      <c r="O1700" s="252">
        <v>86931</v>
      </c>
      <c r="P1700" s="350"/>
    </row>
    <row r="1701" spans="1:16" ht="14.25" customHeight="1">
      <c r="A1701" s="190"/>
      <c r="C1701" s="193"/>
      <c r="E1701" s="193"/>
      <c r="G1701" s="193"/>
      <c r="O1701" s="339"/>
    </row>
    <row r="1702" spans="1:16" ht="14.25" customHeight="1">
      <c r="A1702" s="190"/>
      <c r="C1702" s="193" t="s">
        <v>87</v>
      </c>
      <c r="E1702" s="193"/>
      <c r="G1702" s="193"/>
      <c r="O1702" s="339"/>
    </row>
    <row r="1703" spans="1:16" ht="14.25" customHeight="1">
      <c r="A1703" s="190"/>
      <c r="B1703" s="128" t="s">
        <v>1143</v>
      </c>
      <c r="C1703" s="193">
        <v>2</v>
      </c>
      <c r="D1703" s="128" t="s">
        <v>82</v>
      </c>
      <c r="E1703" s="193"/>
      <c r="G1703" s="193"/>
      <c r="O1703" s="339"/>
    </row>
    <row r="1704" spans="1:16" ht="14.25" customHeight="1">
      <c r="A1704" s="190"/>
      <c r="B1704" s="128" t="s">
        <v>1235</v>
      </c>
      <c r="C1704" s="193">
        <v>2</v>
      </c>
      <c r="D1704" s="128" t="s">
        <v>82</v>
      </c>
      <c r="E1704" s="193"/>
      <c r="G1704" s="193"/>
      <c r="O1704" s="339"/>
    </row>
    <row r="1705" spans="1:16" ht="14.25" customHeight="1">
      <c r="A1705" s="190"/>
      <c r="C1705" s="193"/>
      <c r="E1705" s="193"/>
      <c r="G1705" s="193"/>
      <c r="O1705" s="339"/>
    </row>
    <row r="1706" spans="1:16" ht="14.25" customHeight="1">
      <c r="A1706" s="190"/>
      <c r="B1706" s="191" t="s">
        <v>92</v>
      </c>
      <c r="C1706" s="192">
        <f>SUM(C1703:C1704)</f>
        <v>4</v>
      </c>
      <c r="D1706" s="191" t="s">
        <v>82</v>
      </c>
      <c r="E1706" s="193"/>
      <c r="G1706" s="193"/>
      <c r="O1706" s="339"/>
    </row>
    <row r="1707" spans="1:16" ht="14.25">
      <c r="A1707" s="190"/>
      <c r="C1707" s="193"/>
      <c r="E1707" s="193"/>
      <c r="G1707" s="193"/>
      <c r="O1707" s="339"/>
    </row>
    <row r="1708" spans="1:16" ht="14.25" customHeight="1">
      <c r="A1708" s="245" t="s">
        <v>243</v>
      </c>
      <c r="B1708" s="544" t="s">
        <v>374</v>
      </c>
      <c r="C1708" s="550"/>
      <c r="D1708" s="550"/>
      <c r="E1708" s="550"/>
      <c r="F1708" s="550"/>
      <c r="G1708" s="550"/>
      <c r="H1708" s="550"/>
      <c r="I1708" s="550"/>
      <c r="J1708" s="550"/>
      <c r="K1708" s="550"/>
      <c r="L1708" s="550"/>
      <c r="M1708" s="550"/>
      <c r="N1708" s="550"/>
      <c r="O1708" s="252">
        <v>100849</v>
      </c>
      <c r="P1708" s="350"/>
    </row>
    <row r="1709" spans="1:16" ht="14.25" customHeight="1">
      <c r="A1709" s="190"/>
      <c r="C1709" s="193"/>
      <c r="E1709" s="193"/>
      <c r="G1709" s="193"/>
      <c r="O1709" s="339"/>
    </row>
    <row r="1710" spans="1:16" ht="14.25" customHeight="1">
      <c r="A1710" s="190"/>
      <c r="C1710" s="193" t="s">
        <v>87</v>
      </c>
      <c r="E1710" s="193"/>
      <c r="G1710" s="193"/>
      <c r="O1710" s="339"/>
    </row>
    <row r="1711" spans="1:16" ht="14.25" customHeight="1">
      <c r="A1711" s="190"/>
      <c r="B1711" s="191" t="s">
        <v>92</v>
      </c>
      <c r="C1711" s="192">
        <f>C1698+C1706</f>
        <v>17</v>
      </c>
      <c r="D1711" s="191" t="s">
        <v>82</v>
      </c>
      <c r="E1711" s="193"/>
      <c r="G1711" s="193"/>
      <c r="O1711" s="339"/>
    </row>
    <row r="1712" spans="1:16" ht="14.25">
      <c r="A1712" s="190"/>
      <c r="C1712" s="193"/>
      <c r="E1712" s="193"/>
      <c r="G1712" s="193"/>
      <c r="O1712" s="339"/>
    </row>
    <row r="1713" spans="1:16" ht="14.25" customHeight="1">
      <c r="A1713" s="245" t="s">
        <v>244</v>
      </c>
      <c r="B1713" s="544" t="s">
        <v>375</v>
      </c>
      <c r="C1713" s="550"/>
      <c r="D1713" s="550"/>
      <c r="E1713" s="550"/>
      <c r="F1713" s="550"/>
      <c r="G1713" s="550"/>
      <c r="H1713" s="550"/>
      <c r="I1713" s="550"/>
      <c r="J1713" s="550"/>
      <c r="K1713" s="550"/>
      <c r="L1713" s="550"/>
      <c r="M1713" s="550"/>
      <c r="N1713" s="550"/>
      <c r="O1713" s="252">
        <v>86904</v>
      </c>
      <c r="P1713" s="350"/>
    </row>
    <row r="1714" spans="1:16" ht="14.25" customHeight="1">
      <c r="A1714" s="190"/>
      <c r="C1714" s="193"/>
      <c r="E1714" s="193"/>
      <c r="G1714" s="193"/>
      <c r="O1714" s="339"/>
    </row>
    <row r="1715" spans="1:16" ht="14.25" customHeight="1">
      <c r="A1715" s="190"/>
      <c r="C1715" s="193" t="s">
        <v>87</v>
      </c>
      <c r="E1715" s="193"/>
      <c r="G1715" s="193"/>
      <c r="O1715" s="339"/>
    </row>
    <row r="1716" spans="1:16" ht="14.25" customHeight="1">
      <c r="A1716" s="190"/>
      <c r="B1716" s="128" t="s">
        <v>1143</v>
      </c>
      <c r="C1716" s="193">
        <v>2</v>
      </c>
      <c r="D1716" s="128" t="s">
        <v>82</v>
      </c>
      <c r="E1716" s="193"/>
      <c r="G1716" s="193"/>
      <c r="O1716" s="339"/>
    </row>
    <row r="1717" spans="1:16" ht="14.25" customHeight="1">
      <c r="A1717" s="190"/>
      <c r="C1717" s="193"/>
      <c r="E1717" s="193"/>
      <c r="G1717" s="193"/>
      <c r="O1717" s="339"/>
    </row>
    <row r="1718" spans="1:16" ht="14.25" customHeight="1">
      <c r="A1718" s="190"/>
      <c r="B1718" s="191" t="s">
        <v>92</v>
      </c>
      <c r="C1718" s="192">
        <f>C1716</f>
        <v>2</v>
      </c>
      <c r="D1718" s="191" t="s">
        <v>82</v>
      </c>
      <c r="E1718" s="193"/>
      <c r="G1718" s="193"/>
      <c r="O1718" s="339"/>
    </row>
    <row r="1719" spans="1:16" ht="14.25" customHeight="1">
      <c r="A1719" s="190"/>
      <c r="C1719" s="193"/>
      <c r="E1719" s="193"/>
      <c r="G1719" s="193"/>
      <c r="O1719" s="339"/>
    </row>
    <row r="1720" spans="1:16">
      <c r="A1720" s="245" t="s">
        <v>301</v>
      </c>
      <c r="B1720" s="544" t="s">
        <v>379</v>
      </c>
      <c r="C1720" s="550"/>
      <c r="D1720" s="550"/>
      <c r="E1720" s="550"/>
      <c r="F1720" s="550"/>
      <c r="G1720" s="550"/>
      <c r="H1720" s="550"/>
      <c r="I1720" s="550"/>
      <c r="J1720" s="550"/>
      <c r="K1720" s="550"/>
      <c r="L1720" s="550"/>
      <c r="M1720" s="550"/>
      <c r="N1720" s="550"/>
      <c r="O1720" s="252">
        <v>86901</v>
      </c>
      <c r="P1720" s="350"/>
    </row>
    <row r="1721" spans="1:16" ht="14.25" customHeight="1">
      <c r="A1721" s="190"/>
      <c r="C1721" s="193"/>
      <c r="E1721" s="193"/>
      <c r="G1721" s="193"/>
      <c r="O1721" s="339"/>
    </row>
    <row r="1722" spans="1:16" ht="14.25" customHeight="1">
      <c r="A1722" s="190"/>
      <c r="C1722" s="193" t="s">
        <v>87</v>
      </c>
      <c r="E1722" s="193"/>
      <c r="G1722" s="193"/>
      <c r="O1722" s="339"/>
    </row>
    <row r="1723" spans="1:16" ht="14.25" customHeight="1">
      <c r="A1723" s="190"/>
      <c r="B1723" s="128" t="s">
        <v>1234</v>
      </c>
      <c r="C1723" s="193">
        <f>3+3+4+4</f>
        <v>14</v>
      </c>
      <c r="D1723" s="128" t="s">
        <v>82</v>
      </c>
      <c r="E1723" s="193"/>
      <c r="G1723" s="193"/>
      <c r="O1723" s="339"/>
    </row>
    <row r="1724" spans="1:16" ht="14.25" customHeight="1">
      <c r="A1724" s="190"/>
      <c r="B1724" s="128" t="s">
        <v>220</v>
      </c>
      <c r="C1724" s="193">
        <v>2</v>
      </c>
      <c r="D1724" s="128" t="s">
        <v>82</v>
      </c>
      <c r="E1724" s="193"/>
      <c r="G1724" s="193"/>
      <c r="O1724" s="339"/>
    </row>
    <row r="1725" spans="1:16" ht="14.25" customHeight="1">
      <c r="A1725" s="190"/>
      <c r="B1725" s="128" t="s">
        <v>1235</v>
      </c>
      <c r="C1725" s="193">
        <v>2</v>
      </c>
      <c r="D1725" s="128" t="s">
        <v>82</v>
      </c>
      <c r="E1725" s="193"/>
      <c r="G1725" s="193"/>
      <c r="O1725" s="339"/>
    </row>
    <row r="1726" spans="1:16" ht="14.25" customHeight="1">
      <c r="A1726" s="190"/>
      <c r="C1726" s="193"/>
      <c r="E1726" s="193"/>
      <c r="G1726" s="193"/>
      <c r="O1726" s="339"/>
    </row>
    <row r="1727" spans="1:16" ht="14.25" customHeight="1">
      <c r="A1727" s="190"/>
      <c r="B1727" s="191" t="s">
        <v>92</v>
      </c>
      <c r="C1727" s="192">
        <f>SUM(C1723:C1725)</f>
        <v>18</v>
      </c>
      <c r="D1727" s="191" t="s">
        <v>82</v>
      </c>
      <c r="E1727" s="193"/>
      <c r="G1727" s="193"/>
      <c r="O1727" s="339"/>
    </row>
    <row r="1728" spans="1:16" ht="14.25" customHeight="1">
      <c r="A1728" s="190"/>
      <c r="C1728" s="193"/>
      <c r="E1728" s="193"/>
      <c r="G1728" s="193"/>
      <c r="O1728" s="339"/>
    </row>
    <row r="1729" spans="1:16" ht="14.25" customHeight="1">
      <c r="A1729" s="245" t="s">
        <v>245</v>
      </c>
      <c r="B1729" s="544" t="s">
        <v>1236</v>
      </c>
      <c r="C1729" s="550"/>
      <c r="D1729" s="550"/>
      <c r="E1729" s="550"/>
      <c r="F1729" s="550"/>
      <c r="G1729" s="550"/>
      <c r="H1729" s="550"/>
      <c r="I1729" s="550"/>
      <c r="J1729" s="550"/>
      <c r="K1729" s="550"/>
      <c r="L1729" s="550"/>
      <c r="M1729" s="550"/>
      <c r="N1729" s="550"/>
      <c r="O1729" s="252">
        <v>86903</v>
      </c>
      <c r="P1729" s="350"/>
    </row>
    <row r="1730" spans="1:16" ht="14.25" customHeight="1">
      <c r="A1730" s="190"/>
      <c r="C1730" s="193"/>
      <c r="E1730" s="193"/>
      <c r="G1730" s="193"/>
      <c r="O1730" s="339"/>
    </row>
    <row r="1731" spans="1:16" ht="14.25" customHeight="1">
      <c r="A1731" s="190"/>
      <c r="C1731" s="193" t="s">
        <v>87</v>
      </c>
      <c r="E1731" s="193"/>
      <c r="G1731" s="193"/>
      <c r="O1731" s="339"/>
    </row>
    <row r="1732" spans="1:16" ht="14.25" customHeight="1">
      <c r="A1732" s="190"/>
      <c r="B1732" s="128" t="s">
        <v>365</v>
      </c>
      <c r="C1732" s="193">
        <v>1</v>
      </c>
      <c r="D1732" s="128" t="s">
        <v>82</v>
      </c>
      <c r="E1732" s="193"/>
      <c r="G1732" s="193"/>
      <c r="O1732" s="339"/>
    </row>
    <row r="1733" spans="1:16" ht="14.25" customHeight="1">
      <c r="A1733" s="190"/>
      <c r="C1733" s="193"/>
      <c r="E1733" s="193"/>
      <c r="G1733" s="193"/>
      <c r="O1733" s="339"/>
    </row>
    <row r="1734" spans="1:16" ht="14.25" customHeight="1">
      <c r="A1734" s="190"/>
      <c r="B1734" s="191" t="s">
        <v>92</v>
      </c>
      <c r="C1734" s="192">
        <f>C1732</f>
        <v>1</v>
      </c>
      <c r="D1734" s="191" t="s">
        <v>82</v>
      </c>
      <c r="E1734" s="193"/>
      <c r="G1734" s="193"/>
      <c r="O1734" s="339"/>
    </row>
    <row r="1735" spans="1:16" ht="14.25" customHeight="1">
      <c r="A1735" s="190"/>
      <c r="C1735" s="193"/>
      <c r="E1735" s="193"/>
      <c r="G1735" s="193"/>
      <c r="O1735" s="339"/>
    </row>
    <row r="1736" spans="1:16" ht="32.25" customHeight="1">
      <c r="A1736" s="245" t="s">
        <v>174</v>
      </c>
      <c r="B1736" s="544" t="s">
        <v>376</v>
      </c>
      <c r="C1736" s="550"/>
      <c r="D1736" s="550"/>
      <c r="E1736" s="550"/>
      <c r="F1736" s="550"/>
      <c r="G1736" s="550"/>
      <c r="H1736" s="550"/>
      <c r="I1736" s="550"/>
      <c r="J1736" s="550"/>
      <c r="K1736" s="550"/>
      <c r="L1736" s="550"/>
      <c r="M1736" s="550"/>
      <c r="N1736" s="550"/>
      <c r="O1736" s="252">
        <v>86920</v>
      </c>
      <c r="P1736" s="350"/>
    </row>
    <row r="1737" spans="1:16" ht="14.25" customHeight="1">
      <c r="A1737" s="190"/>
      <c r="C1737" s="193"/>
      <c r="E1737" s="193"/>
      <c r="G1737" s="193"/>
      <c r="O1737" s="339"/>
    </row>
    <row r="1738" spans="1:16" ht="14.25" customHeight="1">
      <c r="A1738" s="190"/>
      <c r="C1738" s="193" t="s">
        <v>87</v>
      </c>
      <c r="E1738" s="193"/>
      <c r="G1738" s="193"/>
      <c r="O1738" s="339"/>
    </row>
    <row r="1739" spans="1:16" ht="14.25" customHeight="1">
      <c r="A1739" s="190"/>
      <c r="B1739" s="128" t="s">
        <v>1237</v>
      </c>
      <c r="C1739" s="193">
        <v>1</v>
      </c>
      <c r="D1739" s="128" t="s">
        <v>82</v>
      </c>
      <c r="E1739" s="193"/>
      <c r="G1739" s="193"/>
      <c r="O1739" s="339"/>
    </row>
    <row r="1740" spans="1:16" ht="14.25" customHeight="1">
      <c r="A1740" s="190"/>
      <c r="B1740" s="128" t="s">
        <v>284</v>
      </c>
      <c r="C1740" s="193">
        <v>2</v>
      </c>
      <c r="D1740" s="128" t="s">
        <v>82</v>
      </c>
      <c r="E1740" s="193"/>
      <c r="G1740" s="193"/>
      <c r="O1740" s="339"/>
    </row>
    <row r="1741" spans="1:16" ht="14.25" customHeight="1">
      <c r="A1741" s="190"/>
      <c r="C1741" s="193"/>
      <c r="E1741" s="193"/>
      <c r="G1741" s="193"/>
      <c r="O1741" s="339"/>
    </row>
    <row r="1742" spans="1:16" ht="14.25" customHeight="1">
      <c r="A1742" s="190"/>
      <c r="B1742" s="191" t="s">
        <v>92</v>
      </c>
      <c r="C1742" s="192">
        <f>SUM(C1739:C1740)</f>
        <v>3</v>
      </c>
      <c r="D1742" s="191" t="s">
        <v>82</v>
      </c>
      <c r="E1742" s="193"/>
      <c r="G1742" s="193"/>
      <c r="O1742" s="339"/>
    </row>
    <row r="1743" spans="1:16" ht="14.25" customHeight="1">
      <c r="A1743" s="190"/>
      <c r="C1743" s="193"/>
      <c r="E1743" s="193"/>
      <c r="G1743" s="193"/>
      <c r="O1743" s="339"/>
    </row>
    <row r="1744" spans="1:16">
      <c r="A1744" s="247" t="s">
        <v>246</v>
      </c>
      <c r="B1744" s="548" t="s">
        <v>380</v>
      </c>
      <c r="C1744" s="548"/>
      <c r="D1744" s="548"/>
      <c r="E1744" s="548"/>
      <c r="F1744" s="548"/>
      <c r="G1744" s="548"/>
      <c r="H1744" s="548"/>
      <c r="I1744" s="548"/>
      <c r="J1744" s="548"/>
      <c r="K1744" s="548"/>
      <c r="L1744" s="548"/>
      <c r="M1744" s="548"/>
      <c r="N1744" s="548"/>
      <c r="O1744" s="367">
        <v>86936</v>
      </c>
      <c r="P1744" s="361"/>
    </row>
    <row r="1745" spans="1:17" ht="14.25" customHeight="1">
      <c r="A1745" s="190"/>
      <c r="C1745" s="193"/>
      <c r="E1745" s="193"/>
      <c r="G1745" s="193"/>
      <c r="O1745" s="339"/>
    </row>
    <row r="1746" spans="1:17" ht="14.25" customHeight="1">
      <c r="A1746" s="190"/>
      <c r="C1746" s="193" t="s">
        <v>87</v>
      </c>
      <c r="E1746" s="193"/>
      <c r="G1746" s="193"/>
      <c r="O1746" s="339"/>
    </row>
    <row r="1747" spans="1:17" ht="14.25" customHeight="1">
      <c r="A1747" s="190"/>
      <c r="B1747" s="128" t="s">
        <v>291</v>
      </c>
      <c r="C1747" s="193">
        <v>1</v>
      </c>
      <c r="D1747" s="128" t="s">
        <v>82</v>
      </c>
      <c r="E1747" s="193"/>
      <c r="G1747" s="193"/>
      <c r="O1747" s="339"/>
    </row>
    <row r="1748" spans="1:17" ht="14.25" customHeight="1">
      <c r="A1748" s="190"/>
      <c r="B1748" s="128" t="s">
        <v>1238</v>
      </c>
      <c r="C1748" s="193">
        <v>2</v>
      </c>
      <c r="D1748" s="128" t="s">
        <v>82</v>
      </c>
      <c r="E1748" s="193"/>
      <c r="G1748" s="193"/>
      <c r="O1748" s="339"/>
    </row>
    <row r="1749" spans="1:17" ht="14.25" customHeight="1">
      <c r="A1749" s="190"/>
      <c r="B1749" s="128" t="s">
        <v>293</v>
      </c>
      <c r="C1749" s="193">
        <v>2</v>
      </c>
      <c r="D1749" s="128" t="s">
        <v>82</v>
      </c>
      <c r="E1749" s="193"/>
      <c r="G1749" s="193"/>
      <c r="O1749" s="339"/>
    </row>
    <row r="1750" spans="1:17" ht="14.25" customHeight="1">
      <c r="A1750" s="190"/>
      <c r="B1750" s="128" t="s">
        <v>365</v>
      </c>
      <c r="C1750" s="193">
        <v>6</v>
      </c>
      <c r="D1750" s="128" t="s">
        <v>82</v>
      </c>
      <c r="E1750" s="193"/>
      <c r="G1750" s="193"/>
      <c r="O1750" s="339"/>
    </row>
    <row r="1751" spans="1:17" ht="14.25" customHeight="1">
      <c r="A1751" s="190"/>
      <c r="C1751" s="193"/>
      <c r="E1751" s="193"/>
      <c r="G1751" s="193"/>
      <c r="O1751" s="339"/>
    </row>
    <row r="1752" spans="1:17" ht="14.25" customHeight="1">
      <c r="A1752" s="190"/>
      <c r="B1752" s="191" t="s">
        <v>92</v>
      </c>
      <c r="C1752" s="192">
        <f>SUM(C1747:C1750)</f>
        <v>11</v>
      </c>
      <c r="D1752" s="191" t="s">
        <v>82</v>
      </c>
      <c r="E1752" s="193"/>
      <c r="G1752" s="193"/>
      <c r="O1752" s="339"/>
    </row>
    <row r="1753" spans="1:17" ht="14.25" customHeight="1">
      <c r="A1753" s="190"/>
      <c r="C1753" s="193"/>
      <c r="E1753" s="193"/>
      <c r="G1753" s="193"/>
      <c r="O1753" s="339"/>
    </row>
    <row r="1754" spans="1:17">
      <c r="A1754" s="245" t="s">
        <v>175</v>
      </c>
      <c r="B1754" s="544" t="s">
        <v>179</v>
      </c>
      <c r="C1754" s="550"/>
      <c r="D1754" s="550"/>
      <c r="E1754" s="550"/>
      <c r="F1754" s="550"/>
      <c r="G1754" s="550"/>
      <c r="H1754" s="550"/>
      <c r="I1754" s="550"/>
      <c r="J1754" s="550"/>
      <c r="K1754" s="550"/>
      <c r="L1754" s="550"/>
      <c r="M1754" s="550"/>
      <c r="N1754" s="550"/>
      <c r="O1754" s="252">
        <v>86906</v>
      </c>
      <c r="P1754" s="350"/>
    </row>
    <row r="1755" spans="1:17" ht="14.25" customHeight="1">
      <c r="A1755" s="190"/>
      <c r="C1755" s="193"/>
      <c r="E1755" s="193"/>
      <c r="G1755" s="193"/>
      <c r="O1755" s="339"/>
    </row>
    <row r="1756" spans="1:17" ht="14.25" customHeight="1">
      <c r="A1756" s="190"/>
      <c r="C1756" s="193" t="s">
        <v>87</v>
      </c>
      <c r="E1756" s="193"/>
      <c r="G1756" s="193"/>
      <c r="O1756" s="339"/>
    </row>
    <row r="1757" spans="1:17" ht="14.25" customHeight="1">
      <c r="A1757" s="190"/>
      <c r="B1757" s="191" t="s">
        <v>92</v>
      </c>
      <c r="C1757" s="192">
        <f>C1718+C1727+C1734</f>
        <v>21</v>
      </c>
      <c r="D1757" s="191" t="s">
        <v>82</v>
      </c>
      <c r="E1757" s="193"/>
      <c r="G1757" s="193"/>
      <c r="O1757" s="339"/>
    </row>
    <row r="1758" spans="1:17" ht="15.75" customHeight="1">
      <c r="A1758" s="190"/>
      <c r="C1758" s="193"/>
      <c r="E1758" s="193"/>
      <c r="G1758" s="193"/>
      <c r="O1758" s="339"/>
      <c r="Q1758" s="248"/>
    </row>
    <row r="1759" spans="1:17">
      <c r="A1759" s="247" t="s">
        <v>247</v>
      </c>
      <c r="B1759" s="548" t="s">
        <v>381</v>
      </c>
      <c r="C1759" s="548"/>
      <c r="D1759" s="548"/>
      <c r="E1759" s="548"/>
      <c r="F1759" s="548"/>
      <c r="G1759" s="548"/>
      <c r="H1759" s="548"/>
      <c r="I1759" s="548"/>
      <c r="J1759" s="548"/>
      <c r="K1759" s="548"/>
      <c r="L1759" s="548"/>
      <c r="M1759" s="548"/>
      <c r="N1759" s="548"/>
      <c r="O1759" s="367">
        <v>86910</v>
      </c>
    </row>
    <row r="1760" spans="1:17" ht="14.25" customHeight="1">
      <c r="A1760" s="190"/>
      <c r="C1760" s="193"/>
      <c r="E1760" s="193"/>
      <c r="G1760" s="193"/>
      <c r="P1760" s="339"/>
    </row>
    <row r="1761" spans="1:16" ht="14.25" customHeight="1">
      <c r="A1761" s="190"/>
      <c r="C1761" s="193" t="s">
        <v>87</v>
      </c>
      <c r="E1761" s="193"/>
      <c r="G1761" s="193"/>
      <c r="O1761" s="339"/>
    </row>
    <row r="1762" spans="1:16" ht="14.25" customHeight="1">
      <c r="A1762" s="190"/>
      <c r="B1762" s="128" t="s">
        <v>291</v>
      </c>
      <c r="C1762" s="193">
        <f>C1747</f>
        <v>1</v>
      </c>
      <c r="D1762" s="128" t="s">
        <v>82</v>
      </c>
      <c r="E1762" s="193"/>
      <c r="G1762" s="193"/>
      <c r="O1762" s="339"/>
    </row>
    <row r="1763" spans="1:16" ht="14.25" customHeight="1">
      <c r="A1763" s="190"/>
      <c r="C1763" s="193"/>
      <c r="E1763" s="193"/>
      <c r="G1763" s="193"/>
      <c r="O1763" s="339"/>
    </row>
    <row r="1764" spans="1:16">
      <c r="A1764" s="190"/>
      <c r="B1764" s="191" t="s">
        <v>92</v>
      </c>
      <c r="C1764" s="192">
        <f>C1762</f>
        <v>1</v>
      </c>
      <c r="D1764" s="191" t="s">
        <v>82</v>
      </c>
      <c r="E1764" s="193"/>
      <c r="G1764" s="193"/>
      <c r="P1764" s="339"/>
    </row>
    <row r="1765" spans="1:16" ht="14.25">
      <c r="A1765" s="190"/>
      <c r="C1765" s="193"/>
      <c r="E1765" s="193"/>
      <c r="G1765" s="193"/>
      <c r="P1765" s="339"/>
    </row>
    <row r="1766" spans="1:16">
      <c r="A1766" s="247" t="s">
        <v>248</v>
      </c>
      <c r="B1766" s="548" t="s">
        <v>225</v>
      </c>
      <c r="C1766" s="548"/>
      <c r="D1766" s="548"/>
      <c r="E1766" s="548"/>
      <c r="F1766" s="548"/>
      <c r="G1766" s="548"/>
      <c r="H1766" s="548"/>
      <c r="I1766" s="548"/>
      <c r="J1766" s="548"/>
      <c r="K1766" s="548"/>
      <c r="L1766" s="548"/>
      <c r="M1766" s="548"/>
      <c r="N1766" s="548"/>
      <c r="O1766" s="367">
        <v>86909</v>
      </c>
    </row>
    <row r="1767" spans="1:16" ht="14.25" customHeight="1">
      <c r="A1767" s="190"/>
      <c r="C1767" s="193"/>
      <c r="E1767" s="193"/>
      <c r="G1767" s="193"/>
      <c r="P1767" s="339"/>
    </row>
    <row r="1768" spans="1:16" ht="14.25" customHeight="1">
      <c r="A1768" s="190"/>
      <c r="C1768" s="193" t="s">
        <v>87</v>
      </c>
      <c r="E1768" s="193"/>
      <c r="G1768" s="193"/>
      <c r="O1768" s="339"/>
    </row>
    <row r="1769" spans="1:16" ht="14.25" customHeight="1">
      <c r="A1769" s="190"/>
      <c r="B1769" s="128" t="s">
        <v>365</v>
      </c>
      <c r="C1769" s="193">
        <v>4</v>
      </c>
      <c r="D1769" s="128" t="s">
        <v>82</v>
      </c>
      <c r="E1769" s="193"/>
      <c r="G1769" s="193"/>
      <c r="O1769" s="339"/>
    </row>
    <row r="1770" spans="1:16" ht="14.25" customHeight="1">
      <c r="A1770" s="190"/>
      <c r="B1770" s="128" t="s">
        <v>292</v>
      </c>
      <c r="C1770" s="193">
        <f>C1748</f>
        <v>2</v>
      </c>
      <c r="D1770" s="128" t="s">
        <v>82</v>
      </c>
      <c r="E1770" s="193"/>
      <c r="G1770" s="193"/>
      <c r="O1770" s="339"/>
    </row>
    <row r="1771" spans="1:16" ht="14.25" customHeight="1">
      <c r="A1771" s="190"/>
      <c r="B1771" s="128" t="s">
        <v>293</v>
      </c>
      <c r="C1771" s="193">
        <f>C1749</f>
        <v>2</v>
      </c>
      <c r="D1771" s="128" t="s">
        <v>82</v>
      </c>
      <c r="E1771" s="193"/>
      <c r="G1771" s="193"/>
      <c r="O1771" s="339"/>
    </row>
    <row r="1772" spans="1:16" ht="14.25" customHeight="1">
      <c r="A1772" s="190"/>
      <c r="C1772" s="193"/>
      <c r="E1772" s="193"/>
      <c r="G1772" s="193"/>
      <c r="O1772" s="339"/>
    </row>
    <row r="1773" spans="1:16">
      <c r="A1773" s="190"/>
      <c r="B1773" s="191" t="s">
        <v>92</v>
      </c>
      <c r="C1773" s="192">
        <f>SUM(C1769:C1771)</f>
        <v>8</v>
      </c>
      <c r="D1773" s="191" t="s">
        <v>82</v>
      </c>
      <c r="E1773" s="193"/>
      <c r="G1773" s="193"/>
      <c r="P1773" s="339"/>
    </row>
    <row r="1774" spans="1:16" ht="14.25">
      <c r="A1774" s="190"/>
      <c r="C1774" s="193"/>
      <c r="E1774" s="193"/>
      <c r="G1774" s="193"/>
      <c r="P1774" s="339"/>
    </row>
    <row r="1775" spans="1:16">
      <c r="A1775" s="247" t="s">
        <v>249</v>
      </c>
      <c r="B1775" s="548" t="s">
        <v>1101</v>
      </c>
      <c r="C1775" s="548"/>
      <c r="D1775" s="548"/>
      <c r="E1775" s="548"/>
      <c r="F1775" s="548"/>
      <c r="G1775" s="548"/>
      <c r="H1775" s="548"/>
      <c r="I1775" s="548"/>
      <c r="J1775" s="548"/>
      <c r="K1775" s="548"/>
      <c r="L1775" s="548"/>
      <c r="M1775" s="548"/>
      <c r="N1775" s="548"/>
      <c r="O1775" s="367" t="s">
        <v>1041</v>
      </c>
      <c r="P1775" s="189" t="s">
        <v>954</v>
      </c>
    </row>
    <row r="1776" spans="1:16" ht="14.25" customHeight="1">
      <c r="A1776" s="190"/>
      <c r="C1776" s="193"/>
      <c r="E1776" s="193"/>
      <c r="G1776" s="193"/>
      <c r="P1776" s="339"/>
    </row>
    <row r="1777" spans="1:16" ht="14.25" customHeight="1">
      <c r="A1777" s="190"/>
      <c r="C1777" s="193" t="s">
        <v>87</v>
      </c>
      <c r="E1777" s="193"/>
      <c r="G1777" s="193"/>
      <c r="O1777" s="339"/>
    </row>
    <row r="1778" spans="1:16" ht="14.25" customHeight="1">
      <c r="A1778" s="190"/>
      <c r="B1778" s="128" t="s">
        <v>365</v>
      </c>
      <c r="C1778" s="193">
        <v>2</v>
      </c>
      <c r="D1778" s="128" t="s">
        <v>82</v>
      </c>
      <c r="E1778" s="193"/>
      <c r="G1778" s="193"/>
      <c r="O1778" s="339"/>
    </row>
    <row r="1779" spans="1:16" ht="14.25" customHeight="1">
      <c r="A1779" s="190"/>
      <c r="C1779" s="193"/>
      <c r="E1779" s="193"/>
      <c r="G1779" s="193"/>
      <c r="O1779" s="339"/>
    </row>
    <row r="1780" spans="1:16">
      <c r="A1780" s="190"/>
      <c r="B1780" s="191" t="s">
        <v>92</v>
      </c>
      <c r="C1780" s="192">
        <f>C1778</f>
        <v>2</v>
      </c>
      <c r="D1780" s="191" t="s">
        <v>82</v>
      </c>
      <c r="E1780" s="193"/>
      <c r="G1780" s="193"/>
      <c r="P1780" s="339"/>
    </row>
    <row r="1781" spans="1:16" ht="14.25">
      <c r="A1781" s="190"/>
      <c r="C1781" s="193"/>
      <c r="E1781" s="193"/>
      <c r="G1781" s="193"/>
      <c r="P1781" s="339"/>
    </row>
    <row r="1782" spans="1:16">
      <c r="A1782" s="245" t="s">
        <v>250</v>
      </c>
      <c r="B1782" s="544" t="s">
        <v>180</v>
      </c>
      <c r="C1782" s="550"/>
      <c r="D1782" s="550"/>
      <c r="E1782" s="550"/>
      <c r="F1782" s="550"/>
      <c r="G1782" s="550"/>
      <c r="H1782" s="550"/>
      <c r="I1782" s="550"/>
      <c r="J1782" s="550"/>
      <c r="K1782" s="550"/>
      <c r="L1782" s="550"/>
      <c r="M1782" s="550"/>
      <c r="N1782" s="550"/>
      <c r="O1782" s="252">
        <v>95544</v>
      </c>
      <c r="P1782" s="350"/>
    </row>
    <row r="1783" spans="1:16" ht="14.25" customHeight="1">
      <c r="A1783" s="190"/>
      <c r="C1783" s="193"/>
      <c r="E1783" s="193"/>
      <c r="G1783" s="193"/>
      <c r="O1783" s="339"/>
    </row>
    <row r="1784" spans="1:16" ht="14.25" customHeight="1">
      <c r="A1784" s="190"/>
      <c r="C1784" s="193" t="s">
        <v>87</v>
      </c>
      <c r="E1784" s="193"/>
      <c r="G1784" s="193"/>
      <c r="O1784" s="339"/>
    </row>
    <row r="1785" spans="1:16" ht="14.25" customHeight="1">
      <c r="A1785" s="190"/>
      <c r="B1785" s="191" t="s">
        <v>92</v>
      </c>
      <c r="C1785" s="192">
        <f>C1698+C1706</f>
        <v>17</v>
      </c>
      <c r="D1785" s="191" t="s">
        <v>82</v>
      </c>
      <c r="E1785" s="193"/>
      <c r="G1785" s="193"/>
      <c r="O1785" s="339"/>
    </row>
    <row r="1786" spans="1:16" ht="14.25" customHeight="1">
      <c r="A1786" s="190"/>
      <c r="C1786" s="193"/>
      <c r="E1786" s="193"/>
      <c r="G1786" s="193"/>
      <c r="O1786" s="339"/>
    </row>
    <row r="1787" spans="1:16" ht="14.25" customHeight="1">
      <c r="A1787" s="245" t="s">
        <v>251</v>
      </c>
      <c r="B1787" s="544" t="s">
        <v>383</v>
      </c>
      <c r="C1787" s="550"/>
      <c r="D1787" s="550"/>
      <c r="E1787" s="550"/>
      <c r="F1787" s="550"/>
      <c r="G1787" s="550"/>
      <c r="H1787" s="550"/>
      <c r="I1787" s="550"/>
      <c r="J1787" s="550"/>
      <c r="K1787" s="550"/>
      <c r="L1787" s="550"/>
      <c r="M1787" s="550"/>
      <c r="N1787" s="550"/>
      <c r="O1787" s="252">
        <v>100867</v>
      </c>
      <c r="P1787" s="350"/>
    </row>
    <row r="1788" spans="1:16" ht="14.25" customHeight="1">
      <c r="A1788" s="195"/>
      <c r="B1788" s="263"/>
      <c r="C1788" s="196"/>
      <c r="D1788" s="196"/>
      <c r="E1788" s="196"/>
      <c r="F1788" s="196"/>
      <c r="G1788" s="196"/>
      <c r="H1788" s="196"/>
      <c r="I1788" s="196"/>
      <c r="J1788" s="196"/>
      <c r="K1788" s="196"/>
      <c r="L1788" s="196"/>
      <c r="M1788" s="196"/>
      <c r="N1788" s="196"/>
      <c r="O1788" s="252"/>
      <c r="P1788" s="350"/>
    </row>
    <row r="1789" spans="1:16" ht="15" customHeight="1">
      <c r="A1789" s="190"/>
      <c r="C1789" s="193" t="s">
        <v>87</v>
      </c>
      <c r="E1789" s="193"/>
      <c r="G1789" s="193"/>
      <c r="O1789" s="339"/>
    </row>
    <row r="1790" spans="1:16" ht="14.25" customHeight="1">
      <c r="A1790" s="190"/>
      <c r="B1790" s="128" t="s">
        <v>1143</v>
      </c>
      <c r="C1790" s="193">
        <v>2</v>
      </c>
      <c r="D1790" s="128" t="s">
        <v>82</v>
      </c>
      <c r="E1790" s="193"/>
      <c r="G1790" s="193"/>
      <c r="O1790" s="339"/>
    </row>
    <row r="1791" spans="1:16" ht="14.25" customHeight="1">
      <c r="A1791" s="190"/>
      <c r="C1791" s="193"/>
      <c r="E1791" s="193"/>
      <c r="G1791" s="193"/>
      <c r="O1791" s="339"/>
    </row>
    <row r="1792" spans="1:16" ht="14.25" customHeight="1">
      <c r="A1792" s="190"/>
      <c r="B1792" s="191" t="s">
        <v>92</v>
      </c>
      <c r="C1792" s="192">
        <f>C1790</f>
        <v>2</v>
      </c>
      <c r="D1792" s="191" t="s">
        <v>82</v>
      </c>
      <c r="E1792" s="193"/>
      <c r="G1792" s="193"/>
      <c r="O1792" s="339"/>
    </row>
    <row r="1793" spans="1:16" ht="14.25" customHeight="1">
      <c r="A1793" s="190"/>
      <c r="B1793" s="191"/>
      <c r="C1793" s="193"/>
      <c r="E1793" s="193"/>
      <c r="G1793" s="193"/>
      <c r="O1793" s="339"/>
    </row>
    <row r="1794" spans="1:16" ht="14.25" customHeight="1">
      <c r="A1794" s="245" t="s">
        <v>302</v>
      </c>
      <c r="B1794" s="544" t="s">
        <v>181</v>
      </c>
      <c r="C1794" s="550"/>
      <c r="D1794" s="550"/>
      <c r="E1794" s="550"/>
      <c r="F1794" s="550"/>
      <c r="G1794" s="550"/>
      <c r="H1794" s="550"/>
      <c r="I1794" s="550"/>
      <c r="J1794" s="550"/>
      <c r="K1794" s="550"/>
      <c r="L1794" s="550"/>
      <c r="M1794" s="550"/>
      <c r="N1794" s="550"/>
      <c r="O1794" s="252">
        <v>100868</v>
      </c>
      <c r="P1794" s="350"/>
    </row>
    <row r="1795" spans="1:16" ht="14.25" customHeight="1">
      <c r="A1795" s="195"/>
      <c r="B1795" s="263"/>
      <c r="C1795" s="196"/>
      <c r="D1795" s="196"/>
      <c r="E1795" s="196"/>
      <c r="F1795" s="196"/>
      <c r="G1795" s="196"/>
      <c r="H1795" s="196"/>
      <c r="I1795" s="196"/>
      <c r="J1795" s="196"/>
      <c r="K1795" s="196"/>
      <c r="L1795" s="196"/>
      <c r="M1795" s="196"/>
      <c r="N1795" s="196"/>
      <c r="O1795" s="252"/>
      <c r="P1795" s="350"/>
    </row>
    <row r="1796" spans="1:16" ht="15" customHeight="1">
      <c r="A1796" s="190"/>
      <c r="C1796" s="193" t="s">
        <v>87</v>
      </c>
      <c r="E1796" s="193"/>
      <c r="G1796" s="193"/>
      <c r="O1796" s="339"/>
    </row>
    <row r="1797" spans="1:16" ht="14.25" customHeight="1">
      <c r="A1797" s="190"/>
      <c r="B1797" s="128" t="s">
        <v>1143</v>
      </c>
      <c r="C1797" s="193">
        <f>2*2</f>
        <v>4</v>
      </c>
      <c r="D1797" s="128" t="s">
        <v>82</v>
      </c>
      <c r="E1797" s="193"/>
      <c r="G1797" s="193"/>
      <c r="O1797" s="339"/>
    </row>
    <row r="1798" spans="1:16" ht="14.25" customHeight="1">
      <c r="A1798" s="190"/>
      <c r="C1798" s="193"/>
      <c r="E1798" s="193"/>
      <c r="G1798" s="193"/>
      <c r="O1798" s="339"/>
    </row>
    <row r="1799" spans="1:16" ht="14.25" customHeight="1">
      <c r="A1799" s="190"/>
      <c r="B1799" s="191" t="s">
        <v>92</v>
      </c>
      <c r="C1799" s="192">
        <f>C1797</f>
        <v>4</v>
      </c>
      <c r="D1799" s="191" t="s">
        <v>82</v>
      </c>
      <c r="E1799" s="193"/>
      <c r="G1799" s="193"/>
      <c r="O1799" s="339"/>
    </row>
    <row r="1800" spans="1:16" ht="14.25" customHeight="1">
      <c r="A1800" s="190"/>
      <c r="B1800" s="191"/>
      <c r="C1800" s="193"/>
      <c r="E1800" s="193"/>
      <c r="G1800" s="193"/>
      <c r="O1800" s="339"/>
    </row>
    <row r="1801" spans="1:16" ht="14.25" customHeight="1">
      <c r="A1801" s="245" t="s">
        <v>252</v>
      </c>
      <c r="B1801" s="544" t="s">
        <v>386</v>
      </c>
      <c r="C1801" s="550"/>
      <c r="D1801" s="550"/>
      <c r="E1801" s="550"/>
      <c r="F1801" s="550"/>
      <c r="G1801" s="550"/>
      <c r="H1801" s="550"/>
      <c r="I1801" s="550"/>
      <c r="J1801" s="550"/>
      <c r="K1801" s="550"/>
      <c r="L1801" s="550"/>
      <c r="M1801" s="550"/>
      <c r="N1801" s="550"/>
      <c r="O1801" s="252">
        <v>99857</v>
      </c>
      <c r="P1801" s="350"/>
    </row>
    <row r="1802" spans="1:16" ht="14.25" customHeight="1">
      <c r="A1802" s="195"/>
      <c r="B1802" s="263"/>
      <c r="C1802" s="196"/>
      <c r="D1802" s="196"/>
      <c r="E1802" s="196"/>
      <c r="F1802" s="196"/>
      <c r="G1802" s="196"/>
      <c r="H1802" s="196"/>
      <c r="I1802" s="196"/>
      <c r="J1802" s="196"/>
      <c r="K1802" s="196"/>
      <c r="L1802" s="196"/>
      <c r="M1802" s="196"/>
      <c r="N1802" s="196"/>
      <c r="O1802" s="252"/>
      <c r="P1802" s="350"/>
    </row>
    <row r="1803" spans="1:16" ht="15" customHeight="1">
      <c r="A1803" s="190"/>
      <c r="C1803" s="193" t="s">
        <v>75</v>
      </c>
      <c r="E1803" s="193" t="s">
        <v>87</v>
      </c>
      <c r="G1803" s="193" t="s">
        <v>75</v>
      </c>
      <c r="O1803" s="339"/>
    </row>
    <row r="1804" spans="1:16" ht="14.25" customHeight="1">
      <c r="A1804" s="190"/>
      <c r="B1804" s="128" t="s">
        <v>1239</v>
      </c>
      <c r="C1804" s="193">
        <v>1.7</v>
      </c>
      <c r="D1804" s="128" t="s">
        <v>50</v>
      </c>
      <c r="E1804" s="193">
        <v>3</v>
      </c>
      <c r="F1804" s="128" t="s">
        <v>95</v>
      </c>
      <c r="G1804" s="193">
        <f>C1804*E1804</f>
        <v>5.0999999999999996</v>
      </c>
      <c r="H1804" s="128" t="s">
        <v>50</v>
      </c>
      <c r="O1804" s="339"/>
    </row>
    <row r="1805" spans="1:16" ht="14.25" customHeight="1">
      <c r="A1805" s="190"/>
      <c r="B1805" s="191"/>
      <c r="C1805" s="192"/>
      <c r="D1805" s="191"/>
      <c r="E1805" s="193"/>
      <c r="G1805" s="193"/>
      <c r="O1805" s="339"/>
    </row>
    <row r="1806" spans="1:16" ht="14.25" customHeight="1">
      <c r="A1806" s="190"/>
      <c r="B1806" s="191" t="s">
        <v>92</v>
      </c>
      <c r="C1806" s="192">
        <f>G1804</f>
        <v>5.0999999999999996</v>
      </c>
      <c r="D1806" s="191" t="s">
        <v>50</v>
      </c>
      <c r="E1806" s="193"/>
      <c r="G1806" s="193"/>
      <c r="O1806" s="339"/>
    </row>
    <row r="1807" spans="1:16" ht="14.25" customHeight="1">
      <c r="A1807" s="190"/>
      <c r="B1807" s="191"/>
      <c r="C1807" s="193"/>
      <c r="E1807" s="193"/>
      <c r="G1807" s="193"/>
      <c r="O1807" s="339"/>
    </row>
    <row r="1808" spans="1:16" ht="30.75" customHeight="1">
      <c r="A1808" s="245" t="s">
        <v>303</v>
      </c>
      <c r="B1808" s="544" t="s">
        <v>1240</v>
      </c>
      <c r="C1808" s="550"/>
      <c r="D1808" s="550"/>
      <c r="E1808" s="550"/>
      <c r="F1808" s="550"/>
      <c r="G1808" s="550"/>
      <c r="H1808" s="550"/>
      <c r="I1808" s="550"/>
      <c r="J1808" s="550"/>
      <c r="K1808" s="550"/>
      <c r="L1808" s="550"/>
      <c r="M1808" s="550"/>
      <c r="N1808" s="550"/>
      <c r="O1808" s="252">
        <v>99837</v>
      </c>
      <c r="P1808" s="350"/>
    </row>
    <row r="1809" spans="1:17" ht="14.25" customHeight="1">
      <c r="A1809" s="195"/>
      <c r="B1809" s="263"/>
      <c r="C1809" s="196"/>
      <c r="D1809" s="196"/>
      <c r="E1809" s="196"/>
      <c r="F1809" s="196"/>
      <c r="G1809" s="196"/>
      <c r="H1809" s="196"/>
      <c r="I1809" s="196"/>
      <c r="J1809" s="196"/>
      <c r="K1809" s="196"/>
      <c r="L1809" s="196"/>
      <c r="M1809" s="196"/>
      <c r="N1809" s="196"/>
      <c r="O1809" s="252"/>
      <c r="P1809" s="350"/>
    </row>
    <row r="1810" spans="1:17" ht="15" customHeight="1">
      <c r="A1810" s="190"/>
      <c r="C1810" s="193" t="s">
        <v>75</v>
      </c>
      <c r="E1810" s="193" t="s">
        <v>87</v>
      </c>
      <c r="G1810" s="193" t="s">
        <v>75</v>
      </c>
      <c r="O1810" s="339"/>
    </row>
    <row r="1811" spans="1:17" ht="14.25" customHeight="1">
      <c r="A1811" s="190"/>
      <c r="B1811" s="128" t="s">
        <v>1241</v>
      </c>
      <c r="C1811" s="193">
        <v>2.78</v>
      </c>
      <c r="D1811" s="128" t="s">
        <v>50</v>
      </c>
      <c r="E1811" s="193">
        <v>2</v>
      </c>
      <c r="F1811" s="128" t="s">
        <v>95</v>
      </c>
      <c r="G1811" s="193">
        <f>C1811*E1811</f>
        <v>5.56</v>
      </c>
      <c r="H1811" s="128" t="s">
        <v>50</v>
      </c>
      <c r="O1811" s="339"/>
    </row>
    <row r="1812" spans="1:17" ht="14.25" customHeight="1">
      <c r="A1812" s="190"/>
      <c r="B1812" s="191"/>
      <c r="C1812" s="192"/>
      <c r="D1812" s="191"/>
      <c r="E1812" s="193"/>
      <c r="G1812" s="193"/>
      <c r="O1812" s="339"/>
    </row>
    <row r="1813" spans="1:17" ht="14.25" customHeight="1">
      <c r="A1813" s="190"/>
      <c r="B1813" s="191" t="s">
        <v>92</v>
      </c>
      <c r="C1813" s="192">
        <f>G1811</f>
        <v>5.56</v>
      </c>
      <c r="D1813" s="191" t="s">
        <v>50</v>
      </c>
      <c r="E1813" s="193"/>
      <c r="G1813" s="193"/>
      <c r="O1813" s="339"/>
    </row>
    <row r="1814" spans="1:17" ht="14.25" customHeight="1">
      <c r="A1814" s="190"/>
      <c r="B1814" s="191"/>
      <c r="C1814" s="193"/>
      <c r="E1814" s="193"/>
      <c r="G1814" s="193"/>
      <c r="O1814" s="339"/>
    </row>
    <row r="1815" spans="1:17" ht="14.25" customHeight="1">
      <c r="A1815" s="245" t="s">
        <v>304</v>
      </c>
      <c r="B1815" s="544" t="s">
        <v>276</v>
      </c>
      <c r="C1815" s="544"/>
      <c r="D1815" s="544"/>
      <c r="E1815" s="544"/>
      <c r="F1815" s="544"/>
      <c r="G1815" s="544"/>
      <c r="H1815" s="544"/>
      <c r="I1815" s="544"/>
      <c r="J1815" s="544"/>
      <c r="K1815" s="544"/>
      <c r="L1815" s="544"/>
      <c r="M1815" s="544"/>
      <c r="N1815" s="544"/>
      <c r="O1815" s="339" t="s">
        <v>182</v>
      </c>
      <c r="P1815" s="350"/>
      <c r="Q1815" s="128" t="s">
        <v>74</v>
      </c>
    </row>
    <row r="1816" spans="1:17" ht="14.25" customHeight="1">
      <c r="A1816" s="190"/>
      <c r="C1816" s="193"/>
      <c r="E1816" s="193"/>
      <c r="G1816" s="193"/>
      <c r="O1816" s="339"/>
    </row>
    <row r="1817" spans="1:17" ht="14.25" customHeight="1">
      <c r="A1817" s="190"/>
      <c r="C1817" s="193" t="s">
        <v>87</v>
      </c>
      <c r="E1817" s="193"/>
      <c r="G1817" s="193"/>
      <c r="O1817" s="339"/>
    </row>
    <row r="1818" spans="1:17" ht="14.25" customHeight="1">
      <c r="A1818" s="190"/>
      <c r="B1818" s="191" t="s">
        <v>92</v>
      </c>
      <c r="C1818" s="192">
        <f>C1757</f>
        <v>21</v>
      </c>
      <c r="D1818" s="191" t="s">
        <v>82</v>
      </c>
      <c r="E1818" s="193"/>
      <c r="G1818" s="193"/>
      <c r="O1818" s="339"/>
    </row>
    <row r="1819" spans="1:17" ht="14.25" customHeight="1">
      <c r="A1819" s="190"/>
      <c r="C1819" s="193"/>
      <c r="E1819" s="193"/>
      <c r="G1819" s="193"/>
      <c r="O1819" s="339"/>
    </row>
    <row r="1820" spans="1:17" ht="14.25" customHeight="1">
      <c r="A1820" s="245" t="s">
        <v>305</v>
      </c>
      <c r="B1820" s="544" t="s">
        <v>183</v>
      </c>
      <c r="C1820" s="550"/>
      <c r="D1820" s="550"/>
      <c r="E1820" s="550"/>
      <c r="F1820" s="550"/>
      <c r="G1820" s="550"/>
      <c r="H1820" s="550"/>
      <c r="I1820" s="550"/>
      <c r="J1820" s="550"/>
      <c r="K1820" s="550"/>
      <c r="L1820" s="550"/>
      <c r="M1820" s="550"/>
      <c r="N1820" s="550"/>
      <c r="O1820" s="252">
        <v>95547</v>
      </c>
      <c r="P1820" s="350"/>
    </row>
    <row r="1821" spans="1:17" ht="14.25" customHeight="1">
      <c r="A1821" s="190"/>
      <c r="C1821" s="193"/>
      <c r="E1821" s="193"/>
      <c r="G1821" s="193"/>
      <c r="O1821" s="339"/>
    </row>
    <row r="1822" spans="1:17" ht="14.25" customHeight="1">
      <c r="A1822" s="190"/>
      <c r="C1822" s="193" t="s">
        <v>87</v>
      </c>
      <c r="E1822" s="193"/>
      <c r="G1822" s="193"/>
      <c r="O1822" s="339"/>
    </row>
    <row r="1823" spans="1:17" ht="14.25" customHeight="1">
      <c r="A1823" s="190"/>
      <c r="B1823" s="191" t="s">
        <v>92</v>
      </c>
      <c r="C1823" s="192">
        <f>C1818</f>
        <v>21</v>
      </c>
      <c r="D1823" s="191" t="s">
        <v>82</v>
      </c>
      <c r="E1823" s="193"/>
      <c r="G1823" s="193"/>
      <c r="O1823" s="339"/>
    </row>
    <row r="1824" spans="1:17" ht="14.25" customHeight="1">
      <c r="A1824" s="190"/>
      <c r="C1824" s="193"/>
      <c r="E1824" s="193"/>
      <c r="G1824" s="193"/>
      <c r="O1824" s="339"/>
    </row>
    <row r="1825" spans="1:16" ht="14.25" customHeight="1">
      <c r="A1825" s="245" t="s">
        <v>306</v>
      </c>
      <c r="B1825" s="553" t="s">
        <v>994</v>
      </c>
      <c r="C1825" s="553"/>
      <c r="D1825" s="553"/>
      <c r="E1825" s="553"/>
      <c r="F1825" s="553"/>
      <c r="G1825" s="553"/>
      <c r="H1825" s="553"/>
      <c r="I1825" s="553"/>
      <c r="J1825" s="553"/>
      <c r="K1825" s="553"/>
      <c r="L1825" s="553"/>
      <c r="M1825" s="553"/>
      <c r="N1825" s="553"/>
      <c r="O1825" s="252" t="s">
        <v>1263</v>
      </c>
      <c r="P1825" s="350" t="s">
        <v>74</v>
      </c>
    </row>
    <row r="1826" spans="1:16" ht="14.25" customHeight="1">
      <c r="A1826" s="190"/>
      <c r="C1826" s="193"/>
      <c r="E1826" s="193"/>
      <c r="G1826" s="193"/>
      <c r="P1826" s="339"/>
    </row>
    <row r="1827" spans="1:16" ht="14.25" customHeight="1">
      <c r="A1827" s="190"/>
      <c r="C1827" s="193" t="s">
        <v>87</v>
      </c>
      <c r="E1827" s="193"/>
      <c r="G1827" s="193"/>
      <c r="O1827" s="339"/>
    </row>
    <row r="1828" spans="1:16" ht="14.25" customHeight="1">
      <c r="A1828" s="190"/>
      <c r="B1828" s="191" t="s">
        <v>92</v>
      </c>
      <c r="C1828" s="192">
        <f>C1703</f>
        <v>2</v>
      </c>
      <c r="D1828" s="191" t="s">
        <v>82</v>
      </c>
      <c r="E1828" s="193"/>
      <c r="G1828" s="193"/>
      <c r="P1828" s="339"/>
    </row>
    <row r="1829" spans="1:16" ht="14.25">
      <c r="A1829" s="190"/>
      <c r="C1829" s="193"/>
      <c r="E1829" s="193"/>
      <c r="G1829" s="193"/>
      <c r="P1829" s="339"/>
    </row>
    <row r="1830" spans="1:16" ht="14.25" customHeight="1">
      <c r="A1830" s="245" t="s">
        <v>307</v>
      </c>
      <c r="B1830" s="553" t="s">
        <v>1229</v>
      </c>
      <c r="C1830" s="553"/>
      <c r="D1830" s="553"/>
      <c r="E1830" s="553"/>
      <c r="F1830" s="553"/>
      <c r="G1830" s="553"/>
      <c r="H1830" s="553"/>
      <c r="I1830" s="553"/>
      <c r="J1830" s="553"/>
      <c r="K1830" s="553"/>
      <c r="L1830" s="553"/>
      <c r="M1830" s="553"/>
      <c r="N1830" s="553"/>
      <c r="O1830" s="252" t="s">
        <v>1230</v>
      </c>
      <c r="P1830" s="350" t="s">
        <v>74</v>
      </c>
    </row>
    <row r="1831" spans="1:16" ht="14.25" customHeight="1">
      <c r="A1831" s="190"/>
      <c r="C1831" s="193"/>
      <c r="E1831" s="193"/>
      <c r="G1831" s="193"/>
      <c r="P1831" s="339"/>
    </row>
    <row r="1832" spans="1:16" ht="14.25" customHeight="1">
      <c r="A1832" s="190"/>
      <c r="C1832" s="193" t="s">
        <v>87</v>
      </c>
      <c r="E1832" s="193"/>
      <c r="G1832" s="193"/>
      <c r="O1832" s="339"/>
    </row>
    <row r="1833" spans="1:16" ht="14.25" customHeight="1">
      <c r="A1833" s="190"/>
      <c r="B1833" s="128" t="s">
        <v>1232</v>
      </c>
      <c r="C1833" s="193">
        <f>3*3</f>
        <v>9</v>
      </c>
      <c r="D1833" s="128" t="s">
        <v>82</v>
      </c>
      <c r="E1833" s="193"/>
      <c r="G1833" s="193"/>
      <c r="O1833" s="339"/>
    </row>
    <row r="1834" spans="1:16" ht="14.25" customHeight="1">
      <c r="A1834" s="190"/>
      <c r="B1834" s="128" t="s">
        <v>294</v>
      </c>
      <c r="C1834" s="193">
        <v>20</v>
      </c>
      <c r="D1834" s="128" t="s">
        <v>82</v>
      </c>
      <c r="E1834" s="193"/>
      <c r="G1834" s="193"/>
      <c r="O1834" s="339"/>
    </row>
    <row r="1835" spans="1:16" ht="14.25" customHeight="1">
      <c r="A1835" s="190"/>
      <c r="B1835" s="128" t="s">
        <v>289</v>
      </c>
      <c r="C1835" s="193">
        <v>20</v>
      </c>
      <c r="D1835" s="128" t="s">
        <v>82</v>
      </c>
      <c r="E1835" s="193"/>
      <c r="G1835" s="193"/>
      <c r="O1835" s="339"/>
    </row>
    <row r="1836" spans="1:16" ht="14.25" customHeight="1">
      <c r="A1836" s="190"/>
      <c r="B1836" s="128" t="s">
        <v>290</v>
      </c>
      <c r="C1836" s="193">
        <v>20</v>
      </c>
      <c r="D1836" s="128" t="s">
        <v>82</v>
      </c>
      <c r="E1836" s="193"/>
      <c r="G1836" s="193"/>
      <c r="O1836" s="339"/>
    </row>
    <row r="1837" spans="1:16" ht="14.25" customHeight="1">
      <c r="A1837" s="190"/>
      <c r="B1837" s="128" t="s">
        <v>295</v>
      </c>
      <c r="C1837" s="193">
        <v>17</v>
      </c>
      <c r="D1837" s="128" t="s">
        <v>82</v>
      </c>
      <c r="E1837" s="193"/>
      <c r="G1837" s="193"/>
      <c r="O1837" s="339"/>
    </row>
    <row r="1838" spans="1:16" ht="14.25" customHeight="1">
      <c r="A1838" s="190"/>
      <c r="B1838" s="128" t="s">
        <v>1175</v>
      </c>
      <c r="C1838" s="193">
        <v>17</v>
      </c>
      <c r="D1838" s="128" t="s">
        <v>82</v>
      </c>
      <c r="E1838" s="193"/>
      <c r="G1838" s="193"/>
      <c r="O1838" s="339"/>
    </row>
    <row r="1839" spans="1:16" ht="14.25" customHeight="1">
      <c r="A1839" s="190"/>
      <c r="B1839" s="128" t="s">
        <v>1176</v>
      </c>
      <c r="C1839" s="193">
        <v>20</v>
      </c>
      <c r="D1839" s="128" t="s">
        <v>82</v>
      </c>
      <c r="E1839" s="193"/>
      <c r="G1839" s="193"/>
      <c r="O1839" s="339"/>
    </row>
    <row r="1840" spans="1:16" ht="14.25" customHeight="1">
      <c r="A1840" s="190"/>
      <c r="B1840" s="128" t="s">
        <v>1242</v>
      </c>
      <c r="C1840" s="193">
        <v>20</v>
      </c>
      <c r="D1840" s="128" t="s">
        <v>82</v>
      </c>
      <c r="E1840" s="193"/>
      <c r="G1840" s="193"/>
      <c r="O1840" s="339"/>
    </row>
    <row r="1841" spans="1:16" ht="14.25" customHeight="1">
      <c r="A1841" s="190"/>
      <c r="C1841" s="193"/>
      <c r="E1841" s="193"/>
      <c r="G1841" s="193"/>
      <c r="O1841" s="339"/>
    </row>
    <row r="1842" spans="1:16" ht="14.25" customHeight="1">
      <c r="A1842" s="190"/>
      <c r="B1842" s="191" t="s">
        <v>92</v>
      </c>
      <c r="C1842" s="192">
        <f>SUM(C1833:C1840)</f>
        <v>143</v>
      </c>
      <c r="D1842" s="191" t="s">
        <v>82</v>
      </c>
      <c r="E1842" s="193"/>
      <c r="G1842" s="193"/>
      <c r="P1842" s="339"/>
    </row>
    <row r="1843" spans="1:16" ht="14.25">
      <c r="A1843" s="190"/>
      <c r="C1843" s="193"/>
      <c r="E1843" s="193"/>
      <c r="G1843" s="193"/>
      <c r="P1843" s="339"/>
    </row>
    <row r="1844" spans="1:16">
      <c r="A1844" s="188" t="s">
        <v>176</v>
      </c>
      <c r="B1844" s="551" t="s">
        <v>62</v>
      </c>
      <c r="C1844" s="552"/>
      <c r="D1844" s="552"/>
      <c r="E1844" s="552"/>
      <c r="F1844" s="552"/>
      <c r="G1844" s="552"/>
      <c r="H1844" s="552"/>
      <c r="I1844" s="552"/>
      <c r="J1844" s="552"/>
      <c r="K1844" s="552"/>
      <c r="L1844" s="552"/>
      <c r="M1844" s="552"/>
      <c r="N1844" s="552"/>
      <c r="O1844" s="346"/>
      <c r="P1844" s="347"/>
    </row>
    <row r="1845" spans="1:16" ht="14.25">
      <c r="A1845" s="190"/>
      <c r="C1845" s="193"/>
      <c r="E1845" s="193"/>
      <c r="G1845" s="193"/>
      <c r="O1845" s="339"/>
    </row>
    <row r="1846" spans="1:16">
      <c r="A1846" s="245" t="s">
        <v>675</v>
      </c>
      <c r="B1846" s="544" t="s">
        <v>676</v>
      </c>
      <c r="C1846" s="550"/>
      <c r="D1846" s="550"/>
      <c r="E1846" s="550"/>
      <c r="F1846" s="550"/>
      <c r="G1846" s="550"/>
      <c r="H1846" s="550"/>
      <c r="I1846" s="550"/>
      <c r="J1846" s="550"/>
      <c r="K1846" s="550"/>
      <c r="L1846" s="550"/>
      <c r="M1846" s="550"/>
      <c r="N1846" s="550"/>
      <c r="O1846" s="252">
        <v>92687</v>
      </c>
      <c r="P1846" s="350"/>
    </row>
    <row r="1847" spans="1:16" ht="14.25" customHeight="1">
      <c r="A1847" s="194"/>
      <c r="B1847" s="246"/>
      <c r="C1847" s="246"/>
      <c r="D1847" s="246"/>
      <c r="E1847" s="246"/>
      <c r="F1847" s="246"/>
      <c r="G1847" s="246"/>
      <c r="H1847" s="246"/>
      <c r="I1847" s="246"/>
      <c r="J1847" s="246"/>
      <c r="K1847" s="246"/>
      <c r="L1847" s="246"/>
      <c r="M1847" s="246"/>
      <c r="N1847" s="246"/>
      <c r="O1847" s="252"/>
      <c r="P1847" s="350"/>
    </row>
    <row r="1848" spans="1:16" ht="15" customHeight="1">
      <c r="A1848" s="190"/>
      <c r="C1848" s="193" t="s">
        <v>75</v>
      </c>
      <c r="E1848" s="193"/>
      <c r="G1848" s="193"/>
      <c r="O1848" s="339"/>
    </row>
    <row r="1849" spans="1:16" ht="14.25" customHeight="1">
      <c r="A1849" s="190"/>
      <c r="B1849" s="191" t="s">
        <v>92</v>
      </c>
      <c r="C1849" s="192">
        <v>1.1299999999999999</v>
      </c>
      <c r="D1849" s="191" t="s">
        <v>50</v>
      </c>
      <c r="E1849" s="193"/>
      <c r="G1849" s="193"/>
      <c r="O1849" s="339"/>
    </row>
    <row r="1850" spans="1:16" ht="14.25">
      <c r="A1850" s="190"/>
      <c r="C1850" s="193"/>
      <c r="E1850" s="193"/>
      <c r="G1850" s="193"/>
      <c r="O1850" s="339"/>
    </row>
    <row r="1851" spans="1:16">
      <c r="A1851" s="245" t="s">
        <v>677</v>
      </c>
      <c r="B1851" s="544" t="s">
        <v>678</v>
      </c>
      <c r="C1851" s="550"/>
      <c r="D1851" s="550"/>
      <c r="E1851" s="550"/>
      <c r="F1851" s="550"/>
      <c r="G1851" s="550"/>
      <c r="H1851" s="550"/>
      <c r="I1851" s="550"/>
      <c r="J1851" s="550"/>
      <c r="K1851" s="550"/>
      <c r="L1851" s="550"/>
      <c r="M1851" s="550"/>
      <c r="N1851" s="550"/>
      <c r="O1851" s="252">
        <v>92688</v>
      </c>
      <c r="P1851" s="350"/>
    </row>
    <row r="1852" spans="1:16" ht="14.25" customHeight="1">
      <c r="A1852" s="194"/>
      <c r="B1852" s="246"/>
      <c r="C1852" s="246"/>
      <c r="D1852" s="246"/>
      <c r="E1852" s="246"/>
      <c r="F1852" s="246"/>
      <c r="G1852" s="246"/>
      <c r="H1852" s="246"/>
      <c r="I1852" s="246"/>
      <c r="J1852" s="246"/>
      <c r="K1852" s="246"/>
      <c r="L1852" s="246"/>
      <c r="M1852" s="246"/>
      <c r="N1852" s="246"/>
      <c r="O1852" s="252"/>
      <c r="P1852" s="350"/>
    </row>
    <row r="1853" spans="1:16" ht="15" customHeight="1">
      <c r="A1853" s="190"/>
      <c r="C1853" s="193" t="s">
        <v>75</v>
      </c>
      <c r="E1853" s="193"/>
      <c r="G1853" s="193"/>
      <c r="O1853" s="339"/>
    </row>
    <row r="1854" spans="1:16" ht="14.25" customHeight="1">
      <c r="A1854" s="190"/>
      <c r="B1854" s="191" t="s">
        <v>92</v>
      </c>
      <c r="C1854" s="192">
        <v>29.63</v>
      </c>
      <c r="D1854" s="191" t="s">
        <v>50</v>
      </c>
      <c r="E1854" s="193"/>
      <c r="G1854" s="193"/>
      <c r="O1854" s="339"/>
    </row>
    <row r="1855" spans="1:16" ht="14.25" customHeight="1">
      <c r="A1855" s="190"/>
      <c r="C1855" s="193"/>
      <c r="E1855" s="193"/>
      <c r="G1855" s="193"/>
      <c r="O1855" s="339"/>
    </row>
    <row r="1856" spans="1:16" ht="14.25" customHeight="1">
      <c r="A1856" s="245" t="s">
        <v>679</v>
      </c>
      <c r="B1856" s="544" t="s">
        <v>680</v>
      </c>
      <c r="C1856" s="550"/>
      <c r="D1856" s="550"/>
      <c r="E1856" s="550"/>
      <c r="F1856" s="550"/>
      <c r="G1856" s="550"/>
      <c r="H1856" s="550"/>
      <c r="I1856" s="550"/>
      <c r="J1856" s="550"/>
      <c r="K1856" s="550"/>
      <c r="L1856" s="550"/>
      <c r="M1856" s="550"/>
      <c r="N1856" s="550"/>
      <c r="O1856" s="252">
        <v>92341</v>
      </c>
      <c r="P1856" s="350"/>
    </row>
    <row r="1857" spans="1:16" ht="14.25" customHeight="1">
      <c r="A1857" s="194"/>
      <c r="B1857" s="246"/>
      <c r="C1857" s="246"/>
      <c r="D1857" s="246"/>
      <c r="E1857" s="246"/>
      <c r="F1857" s="246"/>
      <c r="G1857" s="246"/>
      <c r="H1857" s="246"/>
      <c r="I1857" s="246"/>
      <c r="J1857" s="246"/>
      <c r="K1857" s="246"/>
      <c r="L1857" s="246"/>
      <c r="M1857" s="246"/>
      <c r="N1857" s="246"/>
      <c r="O1857" s="252"/>
      <c r="P1857" s="350"/>
    </row>
    <row r="1858" spans="1:16" ht="15" customHeight="1">
      <c r="A1858" s="190"/>
      <c r="C1858" s="193" t="s">
        <v>75</v>
      </c>
      <c r="E1858" s="193"/>
      <c r="G1858" s="193"/>
      <c r="O1858" s="339"/>
    </row>
    <row r="1859" spans="1:16" ht="14.25" customHeight="1">
      <c r="A1859" s="190"/>
      <c r="B1859" s="191" t="s">
        <v>92</v>
      </c>
      <c r="C1859" s="192">
        <v>0.51</v>
      </c>
      <c r="D1859" s="191" t="s">
        <v>50</v>
      </c>
      <c r="E1859" s="193"/>
      <c r="G1859" s="193"/>
      <c r="O1859" s="339"/>
    </row>
    <row r="1860" spans="1:16" ht="14.25" customHeight="1">
      <c r="A1860" s="190"/>
      <c r="C1860" s="193"/>
      <c r="E1860" s="193"/>
      <c r="G1860" s="193"/>
      <c r="O1860" s="339"/>
    </row>
    <row r="1861" spans="1:16" ht="14.25" customHeight="1">
      <c r="A1861" s="245" t="s">
        <v>681</v>
      </c>
      <c r="B1861" s="553" t="s">
        <v>683</v>
      </c>
      <c r="C1861" s="550"/>
      <c r="D1861" s="550"/>
      <c r="E1861" s="550"/>
      <c r="F1861" s="550"/>
      <c r="G1861" s="550"/>
      <c r="H1861" s="550"/>
      <c r="I1861" s="550"/>
      <c r="J1861" s="550"/>
      <c r="K1861" s="550"/>
      <c r="L1861" s="550"/>
      <c r="M1861" s="550"/>
      <c r="N1861" s="550"/>
      <c r="O1861" s="252">
        <v>92701</v>
      </c>
      <c r="P1861" s="350"/>
    </row>
    <row r="1862" spans="1:16" ht="14.25" customHeight="1">
      <c r="A1862" s="190"/>
      <c r="C1862" s="193"/>
      <c r="E1862" s="193"/>
      <c r="G1862" s="193"/>
      <c r="O1862" s="339"/>
    </row>
    <row r="1863" spans="1:16" ht="15" customHeight="1">
      <c r="A1863" s="190"/>
      <c r="C1863" s="193" t="s">
        <v>87</v>
      </c>
      <c r="E1863" s="193"/>
      <c r="G1863" s="193"/>
      <c r="O1863" s="339"/>
    </row>
    <row r="1864" spans="1:16" ht="14.25" customHeight="1">
      <c r="A1864" s="190"/>
      <c r="B1864" s="191" t="s">
        <v>92</v>
      </c>
      <c r="C1864" s="192">
        <v>6</v>
      </c>
      <c r="D1864" s="191" t="s">
        <v>82</v>
      </c>
      <c r="E1864" s="193"/>
      <c r="G1864" s="193"/>
      <c r="O1864" s="339"/>
    </row>
    <row r="1865" spans="1:16" ht="14.25" customHeight="1">
      <c r="A1865" s="190"/>
      <c r="C1865" s="193"/>
      <c r="E1865" s="193"/>
      <c r="G1865" s="193"/>
      <c r="O1865" s="339"/>
    </row>
    <row r="1866" spans="1:16" ht="14.25" customHeight="1">
      <c r="A1866" s="245" t="s">
        <v>682</v>
      </c>
      <c r="B1866" s="544" t="s">
        <v>685</v>
      </c>
      <c r="C1866" s="550"/>
      <c r="D1866" s="550"/>
      <c r="E1866" s="550"/>
      <c r="F1866" s="550"/>
      <c r="G1866" s="550"/>
      <c r="H1866" s="550"/>
      <c r="I1866" s="550"/>
      <c r="J1866" s="550"/>
      <c r="K1866" s="550"/>
      <c r="L1866" s="550"/>
      <c r="M1866" s="550"/>
      <c r="N1866" s="550"/>
      <c r="O1866" s="252">
        <v>97553</v>
      </c>
      <c r="P1866" s="350"/>
    </row>
    <row r="1867" spans="1:16" ht="14.25" customHeight="1">
      <c r="A1867" s="190"/>
      <c r="C1867" s="193"/>
      <c r="E1867" s="193"/>
      <c r="G1867" s="193"/>
      <c r="O1867" s="339"/>
    </row>
    <row r="1868" spans="1:16" ht="15" customHeight="1">
      <c r="A1868" s="190"/>
      <c r="C1868" s="193" t="s">
        <v>87</v>
      </c>
      <c r="E1868" s="193"/>
      <c r="G1868" s="193"/>
      <c r="O1868" s="339"/>
    </row>
    <row r="1869" spans="1:16" ht="14.25" customHeight="1">
      <c r="A1869" s="190"/>
      <c r="B1869" s="191" t="s">
        <v>92</v>
      </c>
      <c r="C1869" s="192">
        <v>3</v>
      </c>
      <c r="D1869" s="191" t="s">
        <v>82</v>
      </c>
      <c r="E1869" s="193"/>
      <c r="G1869" s="193"/>
      <c r="O1869" s="339"/>
    </row>
    <row r="1870" spans="1:16" ht="14.25" customHeight="1">
      <c r="A1870" s="190"/>
      <c r="C1870" s="193"/>
      <c r="E1870" s="193"/>
      <c r="G1870" s="193"/>
      <c r="O1870" s="339"/>
    </row>
    <row r="1871" spans="1:16" ht="14.25" customHeight="1">
      <c r="A1871" s="245" t="s">
        <v>684</v>
      </c>
      <c r="B1871" s="544" t="s">
        <v>1042</v>
      </c>
      <c r="C1871" s="550"/>
      <c r="D1871" s="550"/>
      <c r="E1871" s="550"/>
      <c r="F1871" s="550"/>
      <c r="G1871" s="550"/>
      <c r="H1871" s="550"/>
      <c r="I1871" s="550"/>
      <c r="J1871" s="550"/>
      <c r="K1871" s="550"/>
      <c r="L1871" s="550"/>
      <c r="M1871" s="550"/>
      <c r="N1871" s="550"/>
      <c r="O1871" s="387" t="s">
        <v>1043</v>
      </c>
      <c r="P1871" s="350" t="s">
        <v>74</v>
      </c>
    </row>
    <row r="1872" spans="1:16" ht="14.25" customHeight="1">
      <c r="A1872" s="190"/>
      <c r="C1872" s="193"/>
      <c r="E1872" s="193"/>
      <c r="G1872" s="193"/>
      <c r="O1872" s="339"/>
    </row>
    <row r="1873" spans="1:16" ht="15" customHeight="1">
      <c r="A1873" s="190"/>
      <c r="C1873" s="193" t="s">
        <v>87</v>
      </c>
      <c r="E1873" s="193"/>
      <c r="G1873" s="193"/>
      <c r="O1873" s="339"/>
    </row>
    <row r="1874" spans="1:16" ht="14.25" customHeight="1">
      <c r="A1874" s="190"/>
      <c r="B1874" s="191" t="s">
        <v>92</v>
      </c>
      <c r="C1874" s="192">
        <v>2</v>
      </c>
      <c r="D1874" s="191" t="s">
        <v>82</v>
      </c>
      <c r="E1874" s="193"/>
      <c r="G1874" s="193"/>
      <c r="O1874" s="339"/>
    </row>
    <row r="1875" spans="1:16" ht="14.25" customHeight="1">
      <c r="A1875" s="190"/>
      <c r="C1875" s="193"/>
      <c r="E1875" s="193"/>
      <c r="G1875" s="193"/>
      <c r="O1875" s="339"/>
    </row>
    <row r="1876" spans="1:16" ht="34.5" customHeight="1">
      <c r="A1876" s="245" t="s">
        <v>686</v>
      </c>
      <c r="B1876" s="544" t="s">
        <v>975</v>
      </c>
      <c r="C1876" s="544"/>
      <c r="D1876" s="544"/>
      <c r="E1876" s="544"/>
      <c r="F1876" s="544"/>
      <c r="G1876" s="544"/>
      <c r="H1876" s="544"/>
      <c r="I1876" s="544"/>
      <c r="J1876" s="544"/>
      <c r="K1876" s="544"/>
      <c r="L1876" s="544"/>
      <c r="M1876" s="544"/>
      <c r="N1876" s="544"/>
      <c r="O1876" s="252">
        <v>103823</v>
      </c>
      <c r="P1876" s="350"/>
    </row>
    <row r="1877" spans="1:16" ht="14.25" customHeight="1">
      <c r="A1877" s="190"/>
      <c r="C1877" s="193"/>
      <c r="E1877" s="193"/>
      <c r="G1877" s="193"/>
      <c r="O1877" s="339"/>
    </row>
    <row r="1878" spans="1:16" ht="15" customHeight="1">
      <c r="A1878" s="190"/>
      <c r="C1878" s="193" t="s">
        <v>87</v>
      </c>
      <c r="E1878" s="193"/>
      <c r="G1878" s="193"/>
      <c r="O1878" s="339"/>
    </row>
    <row r="1879" spans="1:16" ht="14.25" customHeight="1">
      <c r="A1879" s="190"/>
      <c r="B1879" s="191" t="s">
        <v>92</v>
      </c>
      <c r="C1879" s="192">
        <v>5</v>
      </c>
      <c r="D1879" s="191" t="s">
        <v>82</v>
      </c>
      <c r="E1879" s="193"/>
      <c r="G1879" s="193"/>
      <c r="O1879" s="339"/>
    </row>
    <row r="1880" spans="1:16" ht="14.25" customHeight="1">
      <c r="A1880" s="190"/>
      <c r="C1880" s="193"/>
      <c r="E1880" s="193"/>
      <c r="G1880" s="193"/>
      <c r="O1880" s="339"/>
    </row>
    <row r="1881" spans="1:16" ht="33" customHeight="1">
      <c r="A1881" s="245" t="s">
        <v>687</v>
      </c>
      <c r="B1881" s="544" t="s">
        <v>955</v>
      </c>
      <c r="C1881" s="550"/>
      <c r="D1881" s="550"/>
      <c r="E1881" s="550"/>
      <c r="F1881" s="550"/>
      <c r="G1881" s="550"/>
      <c r="H1881" s="550"/>
      <c r="I1881" s="550"/>
      <c r="J1881" s="550"/>
      <c r="K1881" s="550"/>
      <c r="L1881" s="550"/>
      <c r="M1881" s="550"/>
      <c r="N1881" s="550"/>
      <c r="O1881" s="387">
        <v>103825</v>
      </c>
      <c r="P1881" s="350"/>
    </row>
    <row r="1882" spans="1:16" ht="14.25" customHeight="1">
      <c r="A1882" s="190"/>
      <c r="C1882" s="193"/>
      <c r="E1882" s="193"/>
      <c r="G1882" s="193"/>
      <c r="O1882" s="339"/>
    </row>
    <row r="1883" spans="1:16" ht="15" customHeight="1">
      <c r="A1883" s="190"/>
      <c r="C1883" s="193" t="s">
        <v>87</v>
      </c>
      <c r="E1883" s="193"/>
      <c r="G1883" s="193"/>
      <c r="O1883" s="339"/>
    </row>
    <row r="1884" spans="1:16" ht="14.25" customHeight="1">
      <c r="A1884" s="190"/>
      <c r="B1884" s="191" t="s">
        <v>92</v>
      </c>
      <c r="C1884" s="192">
        <v>1</v>
      </c>
      <c r="D1884" s="191" t="s">
        <v>82</v>
      </c>
      <c r="E1884" s="193"/>
      <c r="G1884" s="193"/>
      <c r="O1884" s="339"/>
    </row>
    <row r="1885" spans="1:16" ht="14.25" customHeight="1">
      <c r="A1885" s="190"/>
      <c r="C1885" s="193"/>
      <c r="E1885" s="193"/>
      <c r="G1885" s="193"/>
      <c r="O1885" s="339"/>
    </row>
    <row r="1886" spans="1:16" ht="47.25" customHeight="1">
      <c r="A1886" s="245" t="s">
        <v>688</v>
      </c>
      <c r="B1886" s="544" t="s">
        <v>996</v>
      </c>
      <c r="C1886" s="550"/>
      <c r="D1886" s="550"/>
      <c r="E1886" s="550"/>
      <c r="F1886" s="550"/>
      <c r="G1886" s="550"/>
      <c r="H1886" s="550"/>
      <c r="I1886" s="550"/>
      <c r="J1886" s="550"/>
      <c r="K1886" s="550"/>
      <c r="L1886" s="550"/>
      <c r="M1886" s="550"/>
      <c r="N1886" s="550"/>
      <c r="O1886" s="252" t="s">
        <v>995</v>
      </c>
      <c r="P1886" s="350" t="s">
        <v>970</v>
      </c>
    </row>
    <row r="1887" spans="1:16" ht="14.25" customHeight="1">
      <c r="A1887" s="190"/>
      <c r="C1887" s="193"/>
      <c r="E1887" s="193"/>
      <c r="G1887" s="193"/>
      <c r="O1887" s="339"/>
    </row>
    <row r="1888" spans="1:16" ht="15" customHeight="1">
      <c r="A1888" s="190"/>
      <c r="C1888" s="193" t="s">
        <v>87</v>
      </c>
      <c r="E1888" s="193"/>
      <c r="G1888" s="193"/>
      <c r="O1888" s="339"/>
    </row>
    <row r="1889" spans="1:33" ht="14.25" customHeight="1">
      <c r="A1889" s="190"/>
      <c r="B1889" s="191" t="s">
        <v>92</v>
      </c>
      <c r="C1889" s="192">
        <v>1</v>
      </c>
      <c r="D1889" s="191" t="s">
        <v>82</v>
      </c>
      <c r="E1889" s="193"/>
      <c r="G1889" s="193"/>
      <c r="O1889" s="339"/>
    </row>
    <row r="1890" spans="1:33" ht="14.25" customHeight="1">
      <c r="A1890" s="190"/>
      <c r="C1890" s="193"/>
      <c r="E1890" s="193"/>
      <c r="G1890" s="193"/>
      <c r="O1890" s="339"/>
      <c r="Q1890" s="359"/>
      <c r="R1890" s="119"/>
      <c r="S1890" s="119"/>
      <c r="T1890" s="119"/>
      <c r="U1890" s="119"/>
      <c r="V1890" s="119"/>
      <c r="W1890" s="119"/>
      <c r="X1890" s="119"/>
      <c r="Y1890" s="119"/>
      <c r="Z1890" s="119"/>
      <c r="AA1890" s="119"/>
      <c r="AB1890" s="119"/>
      <c r="AC1890" s="119"/>
      <c r="AD1890" s="119"/>
      <c r="AE1890" s="119"/>
      <c r="AF1890" s="119"/>
      <c r="AG1890" s="119"/>
    </row>
    <row r="1891" spans="1:33" ht="14.25" customHeight="1">
      <c r="A1891" s="245" t="s">
        <v>689</v>
      </c>
      <c r="B1891" s="544" t="s">
        <v>1045</v>
      </c>
      <c r="C1891" s="544"/>
      <c r="D1891" s="544"/>
      <c r="E1891" s="544"/>
      <c r="F1891" s="544"/>
      <c r="G1891" s="544"/>
      <c r="H1891" s="544"/>
      <c r="I1891" s="544"/>
      <c r="J1891" s="544"/>
      <c r="K1891" s="544"/>
      <c r="L1891" s="544"/>
      <c r="M1891" s="544"/>
      <c r="N1891" s="544"/>
      <c r="O1891" s="252" t="s">
        <v>1044</v>
      </c>
      <c r="P1891" s="350" t="s">
        <v>74</v>
      </c>
    </row>
    <row r="1892" spans="1:33" ht="14.25" customHeight="1">
      <c r="A1892" s="190"/>
      <c r="C1892" s="193"/>
      <c r="E1892" s="193"/>
      <c r="G1892" s="193"/>
      <c r="O1892" s="339"/>
    </row>
    <row r="1893" spans="1:33" ht="15" customHeight="1">
      <c r="A1893" s="190"/>
      <c r="C1893" s="193" t="s">
        <v>75</v>
      </c>
      <c r="E1893" s="193"/>
      <c r="G1893" s="193"/>
      <c r="O1893" s="339"/>
    </row>
    <row r="1894" spans="1:33" ht="14.25" customHeight="1">
      <c r="A1894" s="190"/>
      <c r="B1894" s="191" t="s">
        <v>92</v>
      </c>
      <c r="C1894" s="192">
        <v>50</v>
      </c>
      <c r="D1894" s="191" t="s">
        <v>50</v>
      </c>
      <c r="E1894" s="193"/>
      <c r="G1894" s="193"/>
      <c r="O1894" s="339"/>
    </row>
    <row r="1895" spans="1:33" ht="14.25" customHeight="1">
      <c r="A1895" s="190"/>
      <c r="C1895" s="193"/>
      <c r="E1895" s="193"/>
      <c r="G1895" s="193"/>
      <c r="O1895" s="339"/>
      <c r="Q1895" s="359"/>
      <c r="R1895" s="119"/>
      <c r="S1895" s="119"/>
      <c r="T1895" s="119"/>
      <c r="U1895" s="119"/>
      <c r="V1895" s="119"/>
      <c r="W1895" s="119"/>
      <c r="X1895" s="119"/>
      <c r="Y1895" s="119"/>
      <c r="Z1895" s="119"/>
      <c r="AA1895" s="119"/>
      <c r="AB1895" s="119"/>
      <c r="AC1895" s="119"/>
      <c r="AD1895" s="119"/>
      <c r="AE1895" s="119"/>
      <c r="AF1895" s="119"/>
      <c r="AG1895" s="119"/>
    </row>
    <row r="1896" spans="1:33" ht="14.25" customHeight="1">
      <c r="A1896" s="188" t="s">
        <v>177</v>
      </c>
      <c r="B1896" s="584" t="s">
        <v>63</v>
      </c>
      <c r="C1896" s="552"/>
      <c r="D1896" s="552"/>
      <c r="E1896" s="552"/>
      <c r="F1896" s="552"/>
      <c r="G1896" s="552"/>
      <c r="H1896" s="552"/>
      <c r="I1896" s="552"/>
      <c r="J1896" s="552"/>
      <c r="K1896" s="552"/>
      <c r="L1896" s="552"/>
      <c r="M1896" s="552"/>
      <c r="N1896" s="552"/>
      <c r="O1896" s="337"/>
      <c r="P1896" s="338"/>
    </row>
    <row r="1897" spans="1:33" ht="14.25" customHeight="1">
      <c r="A1897" s="190"/>
      <c r="C1897" s="193"/>
      <c r="E1897" s="193"/>
      <c r="G1897" s="193"/>
      <c r="O1897" s="339"/>
    </row>
    <row r="1898" spans="1:33" ht="14.25" customHeight="1">
      <c r="A1898" s="245" t="s">
        <v>690</v>
      </c>
      <c r="B1898" s="544" t="s">
        <v>691</v>
      </c>
      <c r="C1898" s="550"/>
      <c r="D1898" s="550"/>
      <c r="E1898" s="550"/>
      <c r="F1898" s="550"/>
      <c r="G1898" s="550"/>
      <c r="H1898" s="550"/>
      <c r="I1898" s="550"/>
      <c r="J1898" s="550"/>
      <c r="K1898" s="550"/>
      <c r="L1898" s="550"/>
      <c r="M1898" s="550"/>
      <c r="N1898" s="550"/>
      <c r="O1898" s="252">
        <v>101909</v>
      </c>
      <c r="P1898" s="350"/>
    </row>
    <row r="1899" spans="1:33" ht="14.25" customHeight="1">
      <c r="A1899" s="195"/>
      <c r="B1899" s="263"/>
      <c r="C1899" s="196"/>
      <c r="D1899" s="196"/>
      <c r="E1899" s="196"/>
      <c r="F1899" s="196"/>
      <c r="G1899" s="196"/>
      <c r="H1899" s="196"/>
      <c r="I1899" s="196"/>
      <c r="J1899" s="196"/>
      <c r="K1899" s="196"/>
      <c r="L1899" s="196"/>
      <c r="M1899" s="196"/>
      <c r="N1899" s="196"/>
      <c r="O1899" s="252"/>
      <c r="P1899" s="350"/>
    </row>
    <row r="1900" spans="1:33" ht="14.25" customHeight="1">
      <c r="A1900" s="190"/>
      <c r="C1900" s="193" t="s">
        <v>87</v>
      </c>
      <c r="E1900" s="193"/>
      <c r="G1900" s="193"/>
      <c r="O1900" s="339"/>
    </row>
    <row r="1901" spans="1:33" ht="14.25" customHeight="1">
      <c r="A1901" s="190"/>
      <c r="B1901" s="191" t="s">
        <v>92</v>
      </c>
      <c r="C1901" s="192">
        <v>6</v>
      </c>
      <c r="D1901" s="191" t="s">
        <v>82</v>
      </c>
      <c r="E1901" s="193"/>
      <c r="G1901" s="193"/>
      <c r="I1901" s="193"/>
      <c r="O1901" s="339"/>
    </row>
    <row r="1902" spans="1:33" ht="14.25" customHeight="1">
      <c r="A1902" s="190"/>
      <c r="C1902" s="193"/>
      <c r="E1902" s="193"/>
      <c r="G1902" s="193"/>
      <c r="I1902" s="193"/>
      <c r="O1902" s="339"/>
    </row>
    <row r="1903" spans="1:33" ht="14.25" customHeight="1">
      <c r="A1903" s="245" t="s">
        <v>692</v>
      </c>
      <c r="B1903" s="544" t="s">
        <v>693</v>
      </c>
      <c r="C1903" s="550"/>
      <c r="D1903" s="550"/>
      <c r="E1903" s="550"/>
      <c r="F1903" s="550"/>
      <c r="G1903" s="550"/>
      <c r="H1903" s="550"/>
      <c r="I1903" s="550"/>
      <c r="J1903" s="550"/>
      <c r="K1903" s="550"/>
      <c r="L1903" s="550"/>
      <c r="M1903" s="550"/>
      <c r="N1903" s="550"/>
      <c r="O1903" s="252">
        <v>101907</v>
      </c>
      <c r="P1903" s="350"/>
    </row>
    <row r="1904" spans="1:33" ht="14.25" customHeight="1">
      <c r="A1904" s="195"/>
      <c r="B1904" s="263"/>
      <c r="C1904" s="196"/>
      <c r="D1904" s="196"/>
      <c r="E1904" s="196"/>
      <c r="F1904" s="196"/>
      <c r="G1904" s="196"/>
      <c r="H1904" s="196"/>
      <c r="I1904" s="196"/>
      <c r="J1904" s="196"/>
      <c r="K1904" s="196"/>
      <c r="L1904" s="196"/>
      <c r="M1904" s="196"/>
      <c r="N1904" s="196"/>
      <c r="O1904" s="252"/>
      <c r="P1904" s="350"/>
    </row>
    <row r="1905" spans="1:16" ht="14.25" customHeight="1">
      <c r="A1905" s="190"/>
      <c r="C1905" s="193" t="s">
        <v>87</v>
      </c>
      <c r="E1905" s="193"/>
      <c r="G1905" s="193"/>
      <c r="O1905" s="339"/>
    </row>
    <row r="1906" spans="1:16" ht="14.25" customHeight="1">
      <c r="A1906" s="190"/>
      <c r="B1906" s="191" t="s">
        <v>92</v>
      </c>
      <c r="C1906" s="192">
        <v>1</v>
      </c>
      <c r="D1906" s="191" t="s">
        <v>82</v>
      </c>
      <c r="E1906" s="193"/>
      <c r="G1906" s="193"/>
      <c r="I1906" s="193"/>
      <c r="O1906" s="339"/>
    </row>
    <row r="1907" spans="1:16" ht="14.25" customHeight="1">
      <c r="A1907" s="190"/>
      <c r="C1907" s="193"/>
      <c r="E1907" s="193"/>
      <c r="G1907" s="193"/>
      <c r="I1907" s="193"/>
      <c r="O1907" s="339"/>
    </row>
    <row r="1908" spans="1:16">
      <c r="A1908" s="245" t="s">
        <v>694</v>
      </c>
      <c r="B1908" s="544" t="s">
        <v>695</v>
      </c>
      <c r="C1908" s="550"/>
      <c r="D1908" s="550"/>
      <c r="E1908" s="550"/>
      <c r="F1908" s="550"/>
      <c r="G1908" s="550"/>
      <c r="H1908" s="550"/>
      <c r="I1908" s="550"/>
      <c r="J1908" s="550"/>
      <c r="K1908" s="550"/>
      <c r="L1908" s="550"/>
      <c r="M1908" s="550"/>
      <c r="N1908" s="550"/>
      <c r="O1908" s="252">
        <v>97599</v>
      </c>
      <c r="P1908" s="350"/>
    </row>
    <row r="1909" spans="1:16" ht="15" customHeight="1">
      <c r="A1909" s="190"/>
      <c r="C1909" s="193"/>
      <c r="E1909" s="193"/>
      <c r="G1909" s="193"/>
      <c r="O1909" s="339"/>
    </row>
    <row r="1910" spans="1:16" ht="14.25" customHeight="1">
      <c r="A1910" s="190"/>
      <c r="C1910" s="193" t="s">
        <v>87</v>
      </c>
      <c r="E1910" s="193"/>
      <c r="G1910" s="193"/>
      <c r="O1910" s="339"/>
    </row>
    <row r="1911" spans="1:16" ht="15" customHeight="1">
      <c r="A1911" s="190"/>
      <c r="B1911" s="191" t="s">
        <v>92</v>
      </c>
      <c r="C1911" s="192">
        <v>45</v>
      </c>
      <c r="D1911" s="191" t="s">
        <v>82</v>
      </c>
      <c r="E1911" s="193"/>
      <c r="G1911" s="193"/>
      <c r="O1911" s="339"/>
    </row>
    <row r="1912" spans="1:16" ht="14.25" customHeight="1">
      <c r="A1912" s="190"/>
      <c r="C1912" s="193"/>
      <c r="E1912" s="193"/>
      <c r="G1912" s="193"/>
      <c r="O1912" s="339"/>
    </row>
    <row r="1913" spans="1:16">
      <c r="A1913" s="245" t="s">
        <v>696</v>
      </c>
      <c r="B1913" s="544" t="s">
        <v>171</v>
      </c>
      <c r="C1913" s="550"/>
      <c r="D1913" s="550"/>
      <c r="E1913" s="550"/>
      <c r="F1913" s="550"/>
      <c r="G1913" s="550"/>
      <c r="H1913" s="550"/>
      <c r="I1913" s="550"/>
      <c r="J1913" s="550"/>
      <c r="K1913" s="550"/>
      <c r="L1913" s="550"/>
      <c r="M1913" s="550"/>
      <c r="N1913" s="550"/>
      <c r="O1913" s="252">
        <v>102494</v>
      </c>
      <c r="P1913" s="350"/>
    </row>
    <row r="1914" spans="1:16" ht="14.25" customHeight="1">
      <c r="A1914" s="190"/>
      <c r="C1914" s="193"/>
      <c r="E1914" s="193"/>
      <c r="G1914" s="193"/>
      <c r="O1914" s="339"/>
    </row>
    <row r="1915" spans="1:16" ht="14.25" customHeight="1">
      <c r="A1915" s="190"/>
      <c r="C1915" s="193" t="s">
        <v>75</v>
      </c>
      <c r="E1915" s="193" t="s">
        <v>86</v>
      </c>
      <c r="G1915" s="193" t="s">
        <v>87</v>
      </c>
      <c r="I1915" s="128" t="s">
        <v>77</v>
      </c>
      <c r="O1915" s="339"/>
    </row>
    <row r="1916" spans="1:16" ht="14.25" customHeight="1">
      <c r="A1916" s="190"/>
      <c r="B1916" s="128" t="s">
        <v>697</v>
      </c>
      <c r="C1916" s="193">
        <v>1</v>
      </c>
      <c r="D1916" s="128" t="s">
        <v>78</v>
      </c>
      <c r="E1916" s="193">
        <v>1</v>
      </c>
      <c r="F1916" s="128" t="s">
        <v>78</v>
      </c>
      <c r="G1916" s="193">
        <f>C1901+C1906</f>
        <v>7</v>
      </c>
      <c r="H1916" s="128" t="s">
        <v>95</v>
      </c>
      <c r="I1916" s="193">
        <f>C1916*G1916*E1916</f>
        <v>7</v>
      </c>
      <c r="J1916" s="128" t="s">
        <v>42</v>
      </c>
      <c r="O1916" s="339"/>
    </row>
    <row r="1917" spans="1:16" ht="14.25" customHeight="1">
      <c r="A1917" s="190"/>
      <c r="B1917" s="128" t="s">
        <v>698</v>
      </c>
      <c r="C1917" s="193">
        <v>1</v>
      </c>
      <c r="D1917" s="128" t="s">
        <v>78</v>
      </c>
      <c r="E1917" s="193">
        <v>1</v>
      </c>
      <c r="F1917" s="128" t="s">
        <v>78</v>
      </c>
      <c r="G1917" s="193">
        <f>C1948</f>
        <v>2</v>
      </c>
      <c r="H1917" s="128" t="s">
        <v>95</v>
      </c>
      <c r="I1917" s="193">
        <f>C1917*G1917*E1917</f>
        <v>2</v>
      </c>
      <c r="J1917" s="128" t="s">
        <v>42</v>
      </c>
      <c r="O1917" s="339"/>
    </row>
    <row r="1918" spans="1:16" ht="14.25">
      <c r="A1918" s="190"/>
      <c r="B1918" s="128" t="s">
        <v>699</v>
      </c>
      <c r="C1918" s="193">
        <v>1.19</v>
      </c>
      <c r="D1918" s="128" t="s">
        <v>78</v>
      </c>
      <c r="E1918" s="193">
        <v>0.28999999999999998</v>
      </c>
      <c r="F1918" s="128" t="s">
        <v>78</v>
      </c>
      <c r="G1918" s="193">
        <v>2</v>
      </c>
      <c r="H1918" s="128" t="s">
        <v>95</v>
      </c>
      <c r="I1918" s="193">
        <f>C1918*G1918*E1918</f>
        <v>0.69019999999999992</v>
      </c>
      <c r="J1918" s="128" t="s">
        <v>42</v>
      </c>
      <c r="O1918" s="339"/>
    </row>
    <row r="1919" spans="1:16" ht="14.25" customHeight="1">
      <c r="A1919" s="190"/>
      <c r="B1919" s="128" t="s">
        <v>700</v>
      </c>
      <c r="C1919" s="193">
        <v>1.74</v>
      </c>
      <c r="D1919" s="128" t="s">
        <v>78</v>
      </c>
      <c r="E1919" s="193">
        <v>0.44</v>
      </c>
      <c r="F1919" s="128" t="s">
        <v>78</v>
      </c>
      <c r="G1919" s="193">
        <v>3</v>
      </c>
      <c r="H1919" s="128" t="s">
        <v>95</v>
      </c>
      <c r="I1919" s="193">
        <f>C1919*G1919*E1919</f>
        <v>2.2967999999999997</v>
      </c>
      <c r="J1919" s="128" t="s">
        <v>42</v>
      </c>
      <c r="L1919" s="119"/>
      <c r="O1919" s="339"/>
    </row>
    <row r="1920" spans="1:16" ht="14.25" customHeight="1">
      <c r="A1920" s="190"/>
      <c r="C1920" s="193"/>
      <c r="E1920" s="193"/>
      <c r="G1920" s="193"/>
      <c r="I1920" s="193"/>
      <c r="O1920" s="339"/>
    </row>
    <row r="1921" spans="1:16" ht="14.25" customHeight="1">
      <c r="A1921" s="190"/>
      <c r="B1921" s="191" t="s">
        <v>92</v>
      </c>
      <c r="C1921" s="192">
        <f>SUM(I1916:I1919)</f>
        <v>11.987</v>
      </c>
      <c r="D1921" s="191" t="s">
        <v>42</v>
      </c>
      <c r="E1921" s="193"/>
      <c r="G1921" s="193"/>
      <c r="O1921" s="339"/>
    </row>
    <row r="1922" spans="1:16" ht="14.25" customHeight="1">
      <c r="A1922" s="190"/>
      <c r="C1922" s="193"/>
      <c r="E1922" s="193"/>
      <c r="G1922" s="193"/>
      <c r="O1922" s="339"/>
    </row>
    <row r="1923" spans="1:16" ht="29.25" customHeight="1">
      <c r="A1923" s="245" t="s">
        <v>701</v>
      </c>
      <c r="B1923" s="544" t="s">
        <v>1370</v>
      </c>
      <c r="C1923" s="544"/>
      <c r="D1923" s="544"/>
      <c r="E1923" s="544"/>
      <c r="F1923" s="544"/>
      <c r="G1923" s="544"/>
      <c r="H1923" s="544"/>
      <c r="I1923" s="544"/>
      <c r="J1923" s="544"/>
      <c r="K1923" s="544"/>
      <c r="L1923" s="544"/>
      <c r="M1923" s="544"/>
      <c r="N1923" s="544"/>
      <c r="O1923" s="252" t="s">
        <v>1046</v>
      </c>
      <c r="P1923" s="350" t="s">
        <v>74</v>
      </c>
    </row>
    <row r="1924" spans="1:16" ht="14.25" customHeight="1">
      <c r="A1924" s="190"/>
      <c r="C1924" s="193"/>
      <c r="E1924" s="193"/>
      <c r="G1924" s="193"/>
      <c r="O1924" s="339"/>
    </row>
    <row r="1925" spans="1:16" ht="14.25" customHeight="1">
      <c r="A1925" s="190"/>
      <c r="C1925" s="314" t="s">
        <v>87</v>
      </c>
      <c r="E1925" s="193"/>
      <c r="G1925" s="193"/>
      <c r="O1925" s="339"/>
    </row>
    <row r="1926" spans="1:16" ht="14.25" customHeight="1">
      <c r="A1926" s="190"/>
      <c r="B1926" s="128" t="s">
        <v>702</v>
      </c>
      <c r="C1926" s="193">
        <v>4</v>
      </c>
      <c r="D1926" s="128" t="s">
        <v>82</v>
      </c>
      <c r="E1926" s="193"/>
      <c r="G1926" s="193"/>
      <c r="O1926" s="339"/>
    </row>
    <row r="1927" spans="1:16" ht="14.25" customHeight="1">
      <c r="A1927" s="190"/>
      <c r="B1927" s="128" t="s">
        <v>703</v>
      </c>
      <c r="C1927" s="193">
        <v>4</v>
      </c>
      <c r="D1927" s="128" t="s">
        <v>82</v>
      </c>
      <c r="E1927" s="193"/>
      <c r="G1927" s="193"/>
      <c r="O1927" s="339"/>
    </row>
    <row r="1928" spans="1:16" ht="14.25" customHeight="1">
      <c r="A1928" s="190"/>
      <c r="B1928" s="128" t="s">
        <v>1322</v>
      </c>
      <c r="C1928" s="193">
        <v>31</v>
      </c>
      <c r="D1928" s="128" t="s">
        <v>82</v>
      </c>
      <c r="E1928" s="193"/>
      <c r="G1928" s="193"/>
      <c r="O1928" s="339"/>
    </row>
    <row r="1929" spans="1:16" ht="14.25" customHeight="1">
      <c r="A1929" s="190"/>
      <c r="B1929" s="128" t="s">
        <v>704</v>
      </c>
      <c r="C1929" s="193">
        <v>5</v>
      </c>
      <c r="D1929" s="128" t="s">
        <v>82</v>
      </c>
      <c r="E1929" s="193"/>
      <c r="G1929" s="193"/>
      <c r="O1929" s="339"/>
    </row>
    <row r="1930" spans="1:16" ht="14.25" customHeight="1">
      <c r="A1930" s="190"/>
      <c r="C1930" s="193"/>
      <c r="E1930" s="193"/>
      <c r="G1930" s="193"/>
      <c r="O1930" s="339"/>
    </row>
    <row r="1931" spans="1:16" ht="14.25" customHeight="1">
      <c r="A1931" s="190"/>
      <c r="B1931" s="191" t="s">
        <v>92</v>
      </c>
      <c r="C1931" s="192">
        <f>SUM(C1926:C1929)</f>
        <v>44</v>
      </c>
      <c r="D1931" s="191" t="s">
        <v>82</v>
      </c>
      <c r="E1931" s="193"/>
      <c r="G1931" s="193"/>
      <c r="O1931" s="339"/>
    </row>
    <row r="1932" spans="1:16" ht="14.25">
      <c r="A1932" s="190"/>
      <c r="C1932" s="193"/>
      <c r="E1932" s="193"/>
      <c r="G1932" s="193"/>
      <c r="O1932" s="339"/>
    </row>
    <row r="1933" spans="1:16" ht="32.25" customHeight="1">
      <c r="A1933" s="245" t="s">
        <v>705</v>
      </c>
      <c r="B1933" s="544" t="s">
        <v>1371</v>
      </c>
      <c r="C1933" s="544"/>
      <c r="D1933" s="544"/>
      <c r="E1933" s="544"/>
      <c r="F1933" s="544"/>
      <c r="G1933" s="544"/>
      <c r="H1933" s="544"/>
      <c r="I1933" s="544"/>
      <c r="J1933" s="544"/>
      <c r="K1933" s="544"/>
      <c r="L1933" s="544"/>
      <c r="M1933" s="544"/>
      <c r="N1933" s="544"/>
      <c r="O1933" s="252" t="s">
        <v>1047</v>
      </c>
      <c r="P1933" s="350" t="s">
        <v>74</v>
      </c>
    </row>
    <row r="1934" spans="1:16" ht="14.25" customHeight="1">
      <c r="A1934" s="190"/>
      <c r="C1934" s="193"/>
      <c r="E1934" s="193"/>
      <c r="G1934" s="193"/>
    </row>
    <row r="1935" spans="1:16" ht="14.25" customHeight="1">
      <c r="A1935" s="190"/>
      <c r="C1935" s="314" t="s">
        <v>87</v>
      </c>
      <c r="E1935" s="193"/>
      <c r="G1935" s="193"/>
      <c r="O1935" s="339"/>
    </row>
    <row r="1936" spans="1:16" ht="14.25" customHeight="1">
      <c r="A1936" s="190"/>
      <c r="B1936" s="128" t="s">
        <v>1323</v>
      </c>
      <c r="C1936" s="193">
        <v>2</v>
      </c>
      <c r="D1936" s="128" t="s">
        <v>82</v>
      </c>
      <c r="E1936" s="193"/>
      <c r="G1936" s="193"/>
      <c r="O1936" s="339"/>
    </row>
    <row r="1937" spans="1:16" ht="14.25" customHeight="1">
      <c r="A1937" s="190"/>
      <c r="B1937" s="128" t="s">
        <v>1324</v>
      </c>
      <c r="C1937" s="193">
        <v>2</v>
      </c>
      <c r="D1937" s="128" t="s">
        <v>82</v>
      </c>
      <c r="E1937" s="193"/>
      <c r="G1937" s="193"/>
      <c r="O1937" s="339"/>
    </row>
    <row r="1938" spans="1:16" ht="14.25" customHeight="1">
      <c r="A1938" s="190"/>
      <c r="B1938" s="128" t="s">
        <v>706</v>
      </c>
      <c r="C1938" s="193">
        <f>C1988</f>
        <v>2</v>
      </c>
      <c r="D1938" s="128" t="s">
        <v>82</v>
      </c>
      <c r="E1938" s="193"/>
      <c r="G1938" s="193"/>
      <c r="O1938" s="339"/>
    </row>
    <row r="1939" spans="1:16" ht="14.25" customHeight="1">
      <c r="A1939" s="190"/>
      <c r="B1939" s="128" t="s">
        <v>707</v>
      </c>
      <c r="C1939" s="193">
        <v>3</v>
      </c>
      <c r="D1939" s="128" t="s">
        <v>82</v>
      </c>
      <c r="E1939" s="193"/>
      <c r="G1939" s="193"/>
      <c r="O1939" s="339"/>
    </row>
    <row r="1940" spans="1:16" ht="14.25" customHeight="1">
      <c r="A1940" s="190"/>
      <c r="B1940" s="128" t="s">
        <v>708</v>
      </c>
      <c r="C1940" s="193">
        <v>2</v>
      </c>
      <c r="D1940" s="128" t="s">
        <v>82</v>
      </c>
      <c r="E1940" s="193"/>
      <c r="G1940" s="193"/>
      <c r="O1940" s="339"/>
    </row>
    <row r="1941" spans="1:16" ht="14.25" customHeight="1">
      <c r="A1941" s="190"/>
      <c r="B1941" s="128" t="s">
        <v>709</v>
      </c>
      <c r="C1941" s="193">
        <f>C1901+C1906</f>
        <v>7</v>
      </c>
      <c r="D1941" s="128" t="s">
        <v>82</v>
      </c>
      <c r="E1941" s="193"/>
      <c r="G1941" s="193"/>
      <c r="O1941" s="339"/>
    </row>
    <row r="1942" spans="1:16" ht="14.25" customHeight="1">
      <c r="A1942" s="190"/>
      <c r="C1942" s="192"/>
      <c r="D1942" s="191"/>
      <c r="E1942" s="193"/>
      <c r="G1942" s="193"/>
      <c r="O1942" s="339"/>
    </row>
    <row r="1943" spans="1:16" ht="14.25" customHeight="1">
      <c r="A1943" s="190"/>
      <c r="B1943" s="191" t="s">
        <v>92</v>
      </c>
      <c r="C1943" s="192">
        <f>SUM(C1936:C1941)</f>
        <v>18</v>
      </c>
      <c r="D1943" s="191" t="s">
        <v>82</v>
      </c>
      <c r="E1943" s="193"/>
      <c r="G1943" s="193"/>
      <c r="O1943" s="339"/>
    </row>
    <row r="1944" spans="1:16" ht="14.25" customHeight="1">
      <c r="A1944" s="190"/>
      <c r="C1944" s="193"/>
      <c r="E1944" s="193"/>
      <c r="G1944" s="193"/>
      <c r="O1944" s="339"/>
    </row>
    <row r="1945" spans="1:16" ht="32.25" customHeight="1">
      <c r="A1945" s="245" t="s">
        <v>710</v>
      </c>
      <c r="B1945" s="544" t="s">
        <v>711</v>
      </c>
      <c r="C1945" s="550"/>
      <c r="D1945" s="550"/>
      <c r="E1945" s="550"/>
      <c r="F1945" s="550"/>
      <c r="G1945" s="550"/>
      <c r="H1945" s="550"/>
      <c r="I1945" s="550"/>
      <c r="J1945" s="550"/>
      <c r="K1945" s="550"/>
      <c r="L1945" s="550"/>
      <c r="M1945" s="550"/>
      <c r="N1945" s="550"/>
      <c r="O1945" s="252">
        <v>96765</v>
      </c>
      <c r="P1945" s="350"/>
    </row>
    <row r="1946" spans="1:16" ht="14.25" customHeight="1">
      <c r="A1946" s="195"/>
      <c r="B1946" s="263"/>
      <c r="C1946" s="196"/>
      <c r="D1946" s="196"/>
      <c r="E1946" s="196"/>
      <c r="F1946" s="196"/>
      <c r="G1946" s="196"/>
      <c r="H1946" s="196"/>
      <c r="I1946" s="196"/>
      <c r="J1946" s="196"/>
      <c r="K1946" s="196"/>
      <c r="L1946" s="196"/>
      <c r="M1946" s="196"/>
      <c r="N1946" s="196"/>
      <c r="O1946" s="252"/>
      <c r="P1946" s="350"/>
    </row>
    <row r="1947" spans="1:16" ht="14.25" customHeight="1">
      <c r="A1947" s="190"/>
      <c r="C1947" s="193" t="s">
        <v>87</v>
      </c>
      <c r="E1947" s="193"/>
      <c r="G1947" s="193"/>
      <c r="O1947" s="339"/>
    </row>
    <row r="1948" spans="1:16" ht="14.25" customHeight="1">
      <c r="A1948" s="190"/>
      <c r="B1948" s="191" t="s">
        <v>92</v>
      </c>
      <c r="C1948" s="192">
        <v>2</v>
      </c>
      <c r="D1948" s="191" t="s">
        <v>82</v>
      </c>
      <c r="E1948" s="193"/>
      <c r="G1948" s="193"/>
      <c r="O1948" s="339"/>
    </row>
    <row r="1949" spans="1:16" ht="14.25" customHeight="1">
      <c r="A1949" s="190"/>
      <c r="C1949" s="193"/>
      <c r="E1949" s="193"/>
      <c r="G1949" s="193"/>
      <c r="O1949" s="339"/>
    </row>
    <row r="1950" spans="1:16" ht="14.25" customHeight="1">
      <c r="A1950" s="245" t="s">
        <v>712</v>
      </c>
      <c r="B1950" s="559" t="s">
        <v>713</v>
      </c>
      <c r="C1950" s="550"/>
      <c r="D1950" s="550"/>
      <c r="E1950" s="550"/>
      <c r="F1950" s="550"/>
      <c r="G1950" s="550"/>
      <c r="H1950" s="550"/>
      <c r="I1950" s="550"/>
      <c r="J1950" s="550"/>
      <c r="K1950" s="550"/>
      <c r="L1950" s="550"/>
      <c r="M1950" s="550"/>
      <c r="N1950" s="550"/>
      <c r="O1950" s="252">
        <v>101916</v>
      </c>
      <c r="P1950" s="350"/>
    </row>
    <row r="1951" spans="1:16" ht="14.25" customHeight="1">
      <c r="A1951" s="190"/>
      <c r="C1951" s="193"/>
      <c r="E1951" s="193"/>
      <c r="G1951" s="193"/>
      <c r="O1951" s="339"/>
    </row>
    <row r="1952" spans="1:16" ht="14.25" customHeight="1">
      <c r="A1952" s="190"/>
      <c r="C1952" s="193" t="s">
        <v>87</v>
      </c>
      <c r="E1952" s="193"/>
      <c r="G1952" s="193"/>
      <c r="O1952" s="339"/>
    </row>
    <row r="1953" spans="1:17" ht="14.25" customHeight="1">
      <c r="A1953" s="190"/>
      <c r="B1953" s="191" t="s">
        <v>92</v>
      </c>
      <c r="C1953" s="192">
        <v>1</v>
      </c>
      <c r="D1953" s="191" t="s">
        <v>82</v>
      </c>
      <c r="E1953" s="193"/>
      <c r="G1953" s="193"/>
      <c r="O1953" s="339"/>
    </row>
    <row r="1954" spans="1:17" ht="14.25">
      <c r="A1954" s="190"/>
      <c r="C1954" s="193"/>
      <c r="E1954" s="193"/>
      <c r="G1954" s="193"/>
      <c r="O1954" s="339"/>
      <c r="Q1954" s="187"/>
    </row>
    <row r="1955" spans="1:17" ht="30" customHeight="1">
      <c r="A1955" s="245" t="s">
        <v>714</v>
      </c>
      <c r="B1955" s="544" t="s">
        <v>715</v>
      </c>
      <c r="C1955" s="550"/>
      <c r="D1955" s="550"/>
      <c r="E1955" s="550"/>
      <c r="F1955" s="550"/>
      <c r="G1955" s="550"/>
      <c r="H1955" s="550"/>
      <c r="I1955" s="550"/>
      <c r="J1955" s="550"/>
      <c r="K1955" s="550"/>
      <c r="L1955" s="550"/>
      <c r="M1955" s="550"/>
      <c r="N1955" s="550"/>
      <c r="O1955" s="252">
        <v>92364</v>
      </c>
    </row>
    <row r="1956" spans="1:17" ht="14.25" customHeight="1">
      <c r="A1956" s="190"/>
      <c r="C1956" s="193"/>
      <c r="E1956" s="193"/>
      <c r="G1956" s="193"/>
      <c r="P1956" s="339"/>
    </row>
    <row r="1957" spans="1:17" ht="14.25" customHeight="1">
      <c r="A1957" s="190"/>
      <c r="C1957" s="193" t="s">
        <v>75</v>
      </c>
      <c r="E1957" s="193"/>
      <c r="G1957" s="193"/>
      <c r="P1957" s="339"/>
    </row>
    <row r="1958" spans="1:17" ht="14.25" customHeight="1">
      <c r="A1958" s="190"/>
      <c r="B1958" s="191" t="s">
        <v>92</v>
      </c>
      <c r="C1958" s="192">
        <v>0.52</v>
      </c>
      <c r="D1958" s="191" t="s">
        <v>50</v>
      </c>
      <c r="E1958" s="193"/>
      <c r="G1958" s="193"/>
      <c r="P1958" s="339"/>
    </row>
    <row r="1959" spans="1:17" ht="14.25">
      <c r="A1959" s="190"/>
      <c r="C1959" s="193"/>
      <c r="E1959" s="193"/>
      <c r="G1959" s="193"/>
      <c r="P1959" s="339"/>
    </row>
    <row r="1960" spans="1:17" ht="31.5" customHeight="1">
      <c r="A1960" s="245" t="s">
        <v>716</v>
      </c>
      <c r="B1960" s="544" t="s">
        <v>717</v>
      </c>
      <c r="C1960" s="550"/>
      <c r="D1960" s="550"/>
      <c r="E1960" s="550"/>
      <c r="F1960" s="550"/>
      <c r="G1960" s="550"/>
      <c r="H1960" s="550"/>
      <c r="I1960" s="550"/>
      <c r="J1960" s="550"/>
      <c r="K1960" s="550"/>
      <c r="L1960" s="550"/>
      <c r="M1960" s="550"/>
      <c r="N1960" s="550"/>
      <c r="O1960" s="252">
        <v>92367</v>
      </c>
      <c r="P1960" s="350"/>
    </row>
    <row r="1961" spans="1:17" ht="14.25" customHeight="1">
      <c r="A1961" s="190"/>
      <c r="C1961" s="193"/>
      <c r="E1961" s="193"/>
      <c r="G1961" s="193"/>
      <c r="O1961" s="339"/>
    </row>
    <row r="1962" spans="1:17" ht="14.25" customHeight="1">
      <c r="A1962" s="190"/>
      <c r="C1962" s="193" t="s">
        <v>75</v>
      </c>
      <c r="E1962" s="193"/>
      <c r="G1962" s="193"/>
      <c r="O1962" s="339"/>
    </row>
    <row r="1963" spans="1:17" ht="14.25" customHeight="1">
      <c r="A1963" s="190"/>
      <c r="B1963" s="191" t="s">
        <v>92</v>
      </c>
      <c r="C1963" s="192">
        <v>89.23</v>
      </c>
      <c r="D1963" s="191" t="s">
        <v>50</v>
      </c>
      <c r="E1963" s="193"/>
      <c r="G1963" s="193"/>
      <c r="O1963" s="339"/>
    </row>
    <row r="1964" spans="1:17" ht="14.25">
      <c r="A1964" s="190"/>
      <c r="C1964" s="193"/>
      <c r="E1964" s="193"/>
      <c r="G1964" s="193"/>
      <c r="O1964" s="339"/>
    </row>
    <row r="1965" spans="1:17">
      <c r="A1965" s="245" t="s">
        <v>718</v>
      </c>
      <c r="B1965" s="544" t="s">
        <v>719</v>
      </c>
      <c r="C1965" s="550"/>
      <c r="D1965" s="550"/>
      <c r="E1965" s="550"/>
      <c r="F1965" s="550"/>
      <c r="G1965" s="550"/>
      <c r="H1965" s="550"/>
      <c r="I1965" s="550"/>
      <c r="J1965" s="550"/>
      <c r="K1965" s="550"/>
      <c r="L1965" s="550"/>
      <c r="M1965" s="550"/>
      <c r="N1965" s="550"/>
      <c r="O1965" s="252">
        <v>92383</v>
      </c>
      <c r="P1965" s="350"/>
    </row>
    <row r="1966" spans="1:17" ht="14.25" customHeight="1">
      <c r="A1966" s="190"/>
      <c r="C1966" s="193"/>
      <c r="E1966" s="193"/>
      <c r="G1966" s="193"/>
      <c r="O1966" s="339"/>
    </row>
    <row r="1967" spans="1:17" ht="14.25" customHeight="1">
      <c r="A1967" s="190"/>
      <c r="C1967" s="193" t="s">
        <v>87</v>
      </c>
      <c r="E1967" s="193"/>
      <c r="G1967" s="193"/>
      <c r="O1967" s="339"/>
    </row>
    <row r="1968" spans="1:17" ht="14.25" customHeight="1">
      <c r="A1968" s="190"/>
      <c r="B1968" s="191" t="s">
        <v>92</v>
      </c>
      <c r="C1968" s="192">
        <v>21</v>
      </c>
      <c r="D1968" s="191" t="s">
        <v>82</v>
      </c>
      <c r="E1968" s="193"/>
      <c r="G1968" s="193"/>
      <c r="O1968" s="339"/>
    </row>
    <row r="1969" spans="1:16" ht="14.25">
      <c r="A1969" s="190"/>
      <c r="C1969" s="193"/>
      <c r="E1969" s="193"/>
      <c r="G1969" s="193"/>
      <c r="O1969" s="339"/>
    </row>
    <row r="1970" spans="1:16">
      <c r="A1970" s="245" t="s">
        <v>720</v>
      </c>
      <c r="B1970" s="544" t="s">
        <v>721</v>
      </c>
      <c r="C1970" s="550"/>
      <c r="D1970" s="550"/>
      <c r="E1970" s="550"/>
      <c r="F1970" s="550"/>
      <c r="G1970" s="550"/>
      <c r="H1970" s="550"/>
      <c r="I1970" s="550"/>
      <c r="J1970" s="550"/>
      <c r="K1970" s="550"/>
      <c r="L1970" s="550"/>
      <c r="M1970" s="550"/>
      <c r="N1970" s="550"/>
      <c r="O1970" s="252">
        <v>94499</v>
      </c>
      <c r="P1970" s="350"/>
    </row>
    <row r="1971" spans="1:16" ht="14.25" customHeight="1">
      <c r="A1971" s="190"/>
      <c r="C1971" s="193"/>
      <c r="E1971" s="193"/>
      <c r="G1971" s="193"/>
      <c r="O1971" s="339"/>
    </row>
    <row r="1972" spans="1:16" ht="14.25" customHeight="1">
      <c r="A1972" s="190"/>
      <c r="C1972" s="193" t="s">
        <v>87</v>
      </c>
      <c r="E1972" s="193"/>
      <c r="G1972" s="193"/>
      <c r="O1972" s="339"/>
    </row>
    <row r="1973" spans="1:16" ht="14.25" customHeight="1">
      <c r="A1973" s="190"/>
      <c r="B1973" s="191" t="s">
        <v>92</v>
      </c>
      <c r="C1973" s="192">
        <v>3</v>
      </c>
      <c r="D1973" s="191" t="s">
        <v>82</v>
      </c>
      <c r="E1973" s="193"/>
      <c r="G1973" s="193"/>
      <c r="P1973" s="339"/>
    </row>
    <row r="1974" spans="1:16" ht="15" customHeight="1">
      <c r="A1974" s="190"/>
      <c r="C1974" s="193"/>
      <c r="E1974" s="193"/>
      <c r="G1974" s="193"/>
      <c r="P1974" s="339"/>
    </row>
    <row r="1975" spans="1:16">
      <c r="A1975" s="245" t="s">
        <v>722</v>
      </c>
      <c r="B1975" s="544" t="s">
        <v>723</v>
      </c>
      <c r="C1975" s="550"/>
      <c r="D1975" s="550"/>
      <c r="E1975" s="550"/>
      <c r="F1975" s="550"/>
      <c r="G1975" s="550"/>
      <c r="H1975" s="550"/>
      <c r="I1975" s="550"/>
      <c r="J1975" s="550"/>
      <c r="K1975" s="550"/>
      <c r="L1975" s="550"/>
      <c r="M1975" s="550"/>
      <c r="N1975" s="550"/>
      <c r="O1975" s="252">
        <v>103019</v>
      </c>
      <c r="P1975" s="350"/>
    </row>
    <row r="1976" spans="1:16" ht="14.25" customHeight="1">
      <c r="A1976" s="190"/>
      <c r="C1976" s="193"/>
      <c r="E1976" s="193"/>
      <c r="G1976" s="193"/>
      <c r="O1976" s="339"/>
    </row>
    <row r="1977" spans="1:16" ht="14.25" customHeight="1">
      <c r="A1977" s="190"/>
      <c r="C1977" s="193" t="s">
        <v>87</v>
      </c>
      <c r="E1977" s="193"/>
      <c r="G1977" s="193"/>
      <c r="O1977" s="339"/>
    </row>
    <row r="1978" spans="1:16" ht="14.25" customHeight="1">
      <c r="A1978" s="190"/>
      <c r="B1978" s="191" t="s">
        <v>92</v>
      </c>
      <c r="C1978" s="192">
        <v>4</v>
      </c>
      <c r="D1978" s="191" t="s">
        <v>82</v>
      </c>
      <c r="E1978" s="193"/>
      <c r="G1978" s="193"/>
      <c r="P1978" s="339"/>
    </row>
    <row r="1979" spans="1:16" ht="15" customHeight="1">
      <c r="A1979" s="190"/>
      <c r="C1979" s="193"/>
      <c r="E1979" s="193"/>
      <c r="G1979" s="193"/>
      <c r="P1979" s="339"/>
    </row>
    <row r="1980" spans="1:16" ht="14.25" customHeight="1">
      <c r="A1980" s="245" t="s">
        <v>724</v>
      </c>
      <c r="B1980" s="544" t="s">
        <v>725</v>
      </c>
      <c r="C1980" s="550"/>
      <c r="D1980" s="550"/>
      <c r="E1980" s="550"/>
      <c r="F1980" s="550"/>
      <c r="G1980" s="550"/>
      <c r="H1980" s="550"/>
      <c r="I1980" s="550"/>
      <c r="J1980" s="550"/>
      <c r="K1980" s="550"/>
      <c r="L1980" s="550"/>
      <c r="M1980" s="550"/>
      <c r="N1980" s="550"/>
      <c r="O1980" s="252">
        <v>92642</v>
      </c>
      <c r="P1980" s="350"/>
    </row>
    <row r="1981" spans="1:16" ht="14.25" customHeight="1">
      <c r="A1981" s="190"/>
      <c r="C1981" s="193"/>
      <c r="E1981" s="193"/>
      <c r="G1981" s="193"/>
      <c r="O1981" s="339"/>
    </row>
    <row r="1982" spans="1:16" ht="14.25" customHeight="1">
      <c r="A1982" s="190"/>
      <c r="C1982" s="193" t="s">
        <v>87</v>
      </c>
      <c r="E1982" s="193"/>
      <c r="G1982" s="193"/>
      <c r="O1982" s="339"/>
    </row>
    <row r="1983" spans="1:16" ht="14.25" customHeight="1">
      <c r="A1983" s="190"/>
      <c r="B1983" s="191" t="s">
        <v>92</v>
      </c>
      <c r="C1983" s="192">
        <v>5</v>
      </c>
      <c r="D1983" s="191" t="s">
        <v>82</v>
      </c>
      <c r="E1983" s="193"/>
      <c r="G1983" s="193"/>
      <c r="P1983" s="339"/>
    </row>
    <row r="1984" spans="1:16" ht="14.25" customHeight="1">
      <c r="A1984" s="190"/>
      <c r="C1984" s="193"/>
      <c r="E1984" s="193"/>
      <c r="G1984" s="193"/>
      <c r="P1984" s="339"/>
    </row>
    <row r="1985" spans="1:16" ht="14.25" customHeight="1">
      <c r="A1985" s="245" t="s">
        <v>726</v>
      </c>
      <c r="B1985" s="544" t="s">
        <v>976</v>
      </c>
      <c r="C1985" s="544"/>
      <c r="D1985" s="544"/>
      <c r="E1985" s="544"/>
      <c r="F1985" s="544"/>
      <c r="G1985" s="544"/>
      <c r="H1985" s="544"/>
      <c r="I1985" s="544"/>
      <c r="J1985" s="544"/>
      <c r="K1985" s="544"/>
      <c r="L1985" s="544"/>
      <c r="M1985" s="544"/>
      <c r="N1985" s="544"/>
      <c r="O1985" s="252" t="s">
        <v>977</v>
      </c>
      <c r="P1985" s="350" t="s">
        <v>970</v>
      </c>
    </row>
    <row r="1986" spans="1:16" ht="14.25" customHeight="1">
      <c r="A1986" s="190"/>
      <c r="C1986" s="193"/>
      <c r="E1986" s="193"/>
      <c r="G1986" s="193"/>
      <c r="O1986" s="339"/>
    </row>
    <row r="1987" spans="1:16" ht="14.25" customHeight="1">
      <c r="A1987" s="190"/>
      <c r="C1987" s="193" t="s">
        <v>87</v>
      </c>
      <c r="E1987" s="193"/>
      <c r="G1987" s="193"/>
      <c r="O1987" s="339"/>
    </row>
    <row r="1988" spans="1:16" ht="14.25" customHeight="1">
      <c r="A1988" s="190"/>
      <c r="B1988" s="191" t="s">
        <v>92</v>
      </c>
      <c r="C1988" s="192">
        <v>2</v>
      </c>
      <c r="D1988" s="191" t="s">
        <v>82</v>
      </c>
      <c r="E1988" s="193"/>
      <c r="G1988" s="193"/>
      <c r="O1988" s="339"/>
    </row>
    <row r="1989" spans="1:16" ht="14.25" customHeight="1">
      <c r="A1989" s="190"/>
      <c r="C1989" s="192"/>
      <c r="D1989" s="191"/>
      <c r="E1989" s="193"/>
      <c r="G1989" s="193"/>
      <c r="O1989" s="339"/>
    </row>
    <row r="1990" spans="1:16" ht="14.25" customHeight="1">
      <c r="A1990" s="245" t="s">
        <v>727</v>
      </c>
      <c r="B1990" s="544" t="s">
        <v>979</v>
      </c>
      <c r="C1990" s="544"/>
      <c r="D1990" s="544"/>
      <c r="E1990" s="544"/>
      <c r="F1990" s="544"/>
      <c r="G1990" s="544"/>
      <c r="H1990" s="544"/>
      <c r="I1990" s="544"/>
      <c r="J1990" s="544"/>
      <c r="K1990" s="544"/>
      <c r="L1990" s="544"/>
      <c r="M1990" s="544"/>
      <c r="N1990" s="544"/>
      <c r="O1990" s="252" t="s">
        <v>978</v>
      </c>
      <c r="P1990" s="350" t="s">
        <v>970</v>
      </c>
    </row>
    <row r="1991" spans="1:16" ht="14.25" customHeight="1">
      <c r="A1991" s="190"/>
      <c r="C1991" s="193"/>
      <c r="E1991" s="193"/>
      <c r="G1991" s="193"/>
      <c r="O1991" s="339"/>
    </row>
    <row r="1992" spans="1:16" ht="14.25" customHeight="1">
      <c r="A1992" s="190"/>
      <c r="C1992" s="193" t="s">
        <v>87</v>
      </c>
      <c r="E1992" s="193"/>
      <c r="G1992" s="193"/>
      <c r="O1992" s="339"/>
    </row>
    <row r="1993" spans="1:16" ht="14.25" customHeight="1">
      <c r="A1993" s="190"/>
      <c r="B1993" s="191" t="s">
        <v>92</v>
      </c>
      <c r="C1993" s="192">
        <v>3</v>
      </c>
      <c r="D1993" s="191" t="s">
        <v>82</v>
      </c>
      <c r="E1993" s="193"/>
      <c r="G1993" s="193"/>
      <c r="O1993" s="339"/>
    </row>
    <row r="1994" spans="1:16" ht="14.25" customHeight="1">
      <c r="A1994" s="190"/>
      <c r="C1994" s="192"/>
      <c r="D1994" s="191"/>
      <c r="E1994" s="193"/>
      <c r="G1994" s="193"/>
      <c r="O1994" s="339"/>
    </row>
    <row r="1995" spans="1:16" ht="14.25" customHeight="1">
      <c r="A1995" s="245" t="s">
        <v>1369</v>
      </c>
      <c r="B1995" s="544" t="s">
        <v>1048</v>
      </c>
      <c r="C1995" s="550"/>
      <c r="D1995" s="550"/>
      <c r="E1995" s="550"/>
      <c r="F1995" s="550"/>
      <c r="G1995" s="550"/>
      <c r="H1995" s="550"/>
      <c r="I1995" s="550"/>
      <c r="J1995" s="550"/>
      <c r="K1995" s="550"/>
      <c r="L1995" s="550"/>
      <c r="M1995" s="550"/>
      <c r="N1995" s="550"/>
      <c r="O1995" s="252" t="s">
        <v>1049</v>
      </c>
      <c r="P1995" s="350" t="s">
        <v>74</v>
      </c>
    </row>
    <row r="1996" spans="1:16" ht="14.25" customHeight="1">
      <c r="A1996" s="190"/>
      <c r="C1996" s="193"/>
      <c r="E1996" s="193"/>
      <c r="G1996" s="193"/>
      <c r="O1996" s="339"/>
    </row>
    <row r="1997" spans="1:16" ht="14.25" customHeight="1">
      <c r="A1997" s="190"/>
      <c r="C1997" s="193" t="s">
        <v>87</v>
      </c>
      <c r="E1997" s="193"/>
      <c r="G1997" s="193"/>
      <c r="O1997" s="339"/>
    </row>
    <row r="1998" spans="1:16" ht="14.25" customHeight="1">
      <c r="A1998" s="190"/>
      <c r="B1998" s="191" t="s">
        <v>92</v>
      </c>
      <c r="C1998" s="192">
        <v>1</v>
      </c>
      <c r="D1998" s="191" t="s">
        <v>82</v>
      </c>
      <c r="E1998" s="193"/>
      <c r="G1998" s="193"/>
      <c r="O1998" s="339"/>
    </row>
    <row r="1999" spans="1:16" ht="14.25">
      <c r="A1999" s="190"/>
      <c r="C1999" s="193"/>
      <c r="E1999" s="193"/>
      <c r="G1999" s="193"/>
      <c r="O1999" s="339"/>
    </row>
    <row r="2000" spans="1:16" ht="14.25" customHeight="1">
      <c r="A2000" s="245" t="s">
        <v>728</v>
      </c>
      <c r="B2000" s="544" t="s">
        <v>730</v>
      </c>
      <c r="C2000" s="550"/>
      <c r="D2000" s="550"/>
      <c r="E2000" s="550"/>
      <c r="F2000" s="550"/>
      <c r="G2000" s="550"/>
      <c r="H2000" s="550"/>
      <c r="I2000" s="550"/>
      <c r="J2000" s="550"/>
      <c r="K2000" s="550"/>
      <c r="L2000" s="550"/>
      <c r="M2000" s="550"/>
      <c r="N2000" s="550"/>
      <c r="O2000" s="252">
        <v>103015</v>
      </c>
      <c r="P2000" s="350"/>
    </row>
    <row r="2001" spans="1:17" ht="14.25" customHeight="1">
      <c r="A2001" s="190"/>
      <c r="C2001" s="193"/>
      <c r="E2001" s="193"/>
      <c r="G2001" s="193"/>
      <c r="O2001" s="339"/>
    </row>
    <row r="2002" spans="1:17" ht="14.25" customHeight="1">
      <c r="A2002" s="190"/>
      <c r="C2002" s="193" t="s">
        <v>87</v>
      </c>
      <c r="E2002" s="193"/>
      <c r="G2002" s="193"/>
      <c r="O2002" s="339"/>
    </row>
    <row r="2003" spans="1:17" ht="14.25" customHeight="1">
      <c r="A2003" s="190"/>
      <c r="B2003" s="191" t="s">
        <v>92</v>
      </c>
      <c r="C2003" s="192">
        <v>1</v>
      </c>
      <c r="D2003" s="191" t="s">
        <v>82</v>
      </c>
      <c r="E2003" s="193"/>
      <c r="G2003" s="193"/>
      <c r="O2003" s="339"/>
    </row>
    <row r="2004" spans="1:17" ht="14.25">
      <c r="A2004" s="190"/>
      <c r="C2004" s="193"/>
      <c r="E2004" s="193"/>
      <c r="G2004" s="193"/>
      <c r="O2004" s="339"/>
    </row>
    <row r="2005" spans="1:17" ht="30" customHeight="1">
      <c r="A2005" s="245" t="s">
        <v>729</v>
      </c>
      <c r="B2005" s="544" t="s">
        <v>731</v>
      </c>
      <c r="C2005" s="550"/>
      <c r="D2005" s="550"/>
      <c r="E2005" s="550"/>
      <c r="F2005" s="550"/>
      <c r="G2005" s="550"/>
      <c r="H2005" s="550"/>
      <c r="I2005" s="550"/>
      <c r="J2005" s="550"/>
      <c r="K2005" s="550"/>
      <c r="L2005" s="550"/>
      <c r="M2005" s="550"/>
      <c r="N2005" s="550"/>
      <c r="O2005" s="252">
        <v>94483</v>
      </c>
      <c r="P2005" s="350"/>
    </row>
    <row r="2006" spans="1:17" ht="14.25" customHeight="1">
      <c r="A2006" s="190"/>
      <c r="C2006" s="193"/>
      <c r="E2006" s="193"/>
      <c r="G2006" s="193"/>
      <c r="O2006" s="339"/>
    </row>
    <row r="2007" spans="1:17" ht="14.25" customHeight="1">
      <c r="A2007" s="190"/>
      <c r="C2007" s="193" t="s">
        <v>87</v>
      </c>
      <c r="E2007" s="193"/>
      <c r="G2007" s="193"/>
      <c r="O2007" s="339"/>
    </row>
    <row r="2008" spans="1:17" ht="14.25" customHeight="1">
      <c r="A2008" s="190"/>
      <c r="B2008" s="191" t="s">
        <v>92</v>
      </c>
      <c r="C2008" s="192">
        <v>1</v>
      </c>
      <c r="D2008" s="191" t="s">
        <v>82</v>
      </c>
      <c r="E2008" s="193"/>
      <c r="G2008" s="193"/>
      <c r="O2008" s="339"/>
    </row>
    <row r="2009" spans="1:17" ht="14.25" customHeight="1">
      <c r="A2009" s="190"/>
      <c r="C2009" s="193"/>
      <c r="E2009" s="193"/>
      <c r="G2009" s="193"/>
      <c r="O2009" s="339"/>
      <c r="Q2009" s="129"/>
    </row>
    <row r="2010" spans="1:17" s="175" customFormat="1" ht="14.25" customHeight="1">
      <c r="A2010" s="204" t="s">
        <v>184</v>
      </c>
      <c r="B2010" s="585" t="s">
        <v>1080</v>
      </c>
      <c r="C2010" s="552"/>
      <c r="D2010" s="552"/>
      <c r="E2010" s="552"/>
      <c r="F2010" s="552"/>
      <c r="G2010" s="552"/>
      <c r="H2010" s="552"/>
      <c r="I2010" s="552"/>
      <c r="J2010" s="552"/>
      <c r="K2010" s="552"/>
      <c r="L2010" s="552"/>
      <c r="M2010" s="552"/>
      <c r="N2010" s="552"/>
      <c r="O2010" s="348"/>
      <c r="P2010" s="349"/>
    </row>
    <row r="2011" spans="1:17" ht="14.25" customHeight="1">
      <c r="A2011" s="188" t="s">
        <v>732</v>
      </c>
      <c r="B2011" s="551" t="s">
        <v>733</v>
      </c>
      <c r="C2011" s="552"/>
      <c r="D2011" s="552"/>
      <c r="E2011" s="552"/>
      <c r="F2011" s="552"/>
      <c r="G2011" s="552"/>
      <c r="H2011" s="552"/>
      <c r="I2011" s="552"/>
      <c r="J2011" s="552"/>
      <c r="K2011" s="552"/>
      <c r="L2011" s="552"/>
      <c r="M2011" s="552"/>
      <c r="N2011" s="552"/>
      <c r="O2011" s="346"/>
      <c r="P2011" s="347"/>
    </row>
    <row r="2012" spans="1:17" ht="14.25">
      <c r="A2012" s="190"/>
      <c r="C2012" s="193"/>
      <c r="E2012" s="193"/>
      <c r="G2012" s="193"/>
      <c r="O2012" s="339"/>
    </row>
    <row r="2013" spans="1:17">
      <c r="A2013" s="247" t="s">
        <v>734</v>
      </c>
      <c r="B2013" s="548" t="s">
        <v>1312</v>
      </c>
      <c r="C2013" s="548"/>
      <c r="D2013" s="548"/>
      <c r="E2013" s="548"/>
      <c r="F2013" s="548"/>
      <c r="G2013" s="548"/>
      <c r="H2013" s="548"/>
      <c r="I2013" s="548"/>
      <c r="J2013" s="548"/>
      <c r="K2013" s="548"/>
      <c r="L2013" s="548"/>
      <c r="M2013" s="548"/>
      <c r="N2013" s="548"/>
      <c r="O2013" s="367">
        <v>101876</v>
      </c>
      <c r="P2013" s="361"/>
    </row>
    <row r="2014" spans="1:17" ht="14.25" customHeight="1">
      <c r="A2014" s="190"/>
      <c r="C2014" s="193"/>
      <c r="E2014" s="193"/>
      <c r="G2014" s="193"/>
      <c r="O2014" s="339"/>
    </row>
    <row r="2015" spans="1:17" ht="15" customHeight="1">
      <c r="A2015" s="190"/>
      <c r="C2015" s="193" t="s">
        <v>87</v>
      </c>
      <c r="O2015" s="339"/>
    </row>
    <row r="2016" spans="1:17">
      <c r="A2016" s="190"/>
      <c r="B2016" s="191" t="s">
        <v>92</v>
      </c>
      <c r="C2016" s="192">
        <v>1</v>
      </c>
      <c r="D2016" s="191" t="s">
        <v>82</v>
      </c>
      <c r="E2016" s="193"/>
      <c r="G2016" s="193"/>
      <c r="O2016" s="339"/>
    </row>
    <row r="2017" spans="1:17" ht="14.25">
      <c r="A2017" s="190"/>
      <c r="C2017" s="193"/>
      <c r="E2017" s="193"/>
      <c r="G2017" s="193"/>
      <c r="O2017" s="339"/>
    </row>
    <row r="2018" spans="1:17" ht="33" customHeight="1">
      <c r="A2018" s="247" t="s">
        <v>735</v>
      </c>
      <c r="B2018" s="548" t="s">
        <v>1313</v>
      </c>
      <c r="C2018" s="548"/>
      <c r="D2018" s="548"/>
      <c r="E2018" s="548"/>
      <c r="F2018" s="548"/>
      <c r="G2018" s="548"/>
      <c r="H2018" s="548"/>
      <c r="I2018" s="548"/>
      <c r="J2018" s="548"/>
      <c r="K2018" s="548"/>
      <c r="L2018" s="548"/>
      <c r="M2018" s="548"/>
      <c r="N2018" s="548"/>
      <c r="O2018" s="367">
        <v>101875</v>
      </c>
      <c r="P2018" s="361"/>
    </row>
    <row r="2019" spans="1:17" ht="14.25" customHeight="1">
      <c r="A2019" s="190"/>
      <c r="C2019" s="193"/>
      <c r="E2019" s="193"/>
      <c r="G2019" s="193"/>
      <c r="O2019" s="339"/>
    </row>
    <row r="2020" spans="1:17" ht="15" customHeight="1">
      <c r="A2020" s="190"/>
      <c r="C2020" s="193" t="s">
        <v>87</v>
      </c>
      <c r="O2020" s="339"/>
    </row>
    <row r="2021" spans="1:17">
      <c r="A2021" s="190"/>
      <c r="B2021" s="191" t="s">
        <v>92</v>
      </c>
      <c r="C2021" s="192">
        <v>1</v>
      </c>
      <c r="D2021" s="191" t="s">
        <v>82</v>
      </c>
      <c r="E2021" s="193"/>
      <c r="G2021" s="193"/>
      <c r="O2021" s="339"/>
    </row>
    <row r="2022" spans="1:17" ht="14.25">
      <c r="A2022" s="190"/>
      <c r="C2022" s="193"/>
      <c r="E2022" s="193"/>
      <c r="G2022" s="193"/>
      <c r="O2022" s="339"/>
    </row>
    <row r="2023" spans="1:17" ht="30" customHeight="1">
      <c r="A2023" s="247" t="s">
        <v>736</v>
      </c>
      <c r="B2023" s="548" t="s">
        <v>1314</v>
      </c>
      <c r="C2023" s="548"/>
      <c r="D2023" s="548"/>
      <c r="E2023" s="548"/>
      <c r="F2023" s="548"/>
      <c r="G2023" s="548"/>
      <c r="H2023" s="548"/>
      <c r="I2023" s="548"/>
      <c r="J2023" s="548"/>
      <c r="K2023" s="548"/>
      <c r="L2023" s="548"/>
      <c r="M2023" s="548"/>
      <c r="N2023" s="548"/>
      <c r="O2023" s="378">
        <v>101882</v>
      </c>
      <c r="P2023" s="128"/>
      <c r="Q2023" s="248"/>
    </row>
    <row r="2024" spans="1:17" ht="14.25">
      <c r="A2024" s="190"/>
      <c r="C2024" s="193"/>
      <c r="E2024" s="193"/>
      <c r="G2024" s="193"/>
      <c r="O2024" s="128"/>
      <c r="P2024" s="388"/>
    </row>
    <row r="2025" spans="1:17" ht="15" customHeight="1">
      <c r="A2025" s="190"/>
      <c r="C2025" s="193" t="s">
        <v>87</v>
      </c>
      <c r="E2025" s="193"/>
      <c r="G2025" s="193"/>
      <c r="O2025" s="339"/>
    </row>
    <row r="2026" spans="1:17" ht="15" customHeight="1">
      <c r="A2026" s="190"/>
      <c r="B2026" s="191" t="s">
        <v>92</v>
      </c>
      <c r="C2026" s="192">
        <v>1</v>
      </c>
      <c r="D2026" s="191" t="s">
        <v>82</v>
      </c>
      <c r="E2026" s="193"/>
      <c r="G2026" s="193"/>
      <c r="O2026" s="128"/>
      <c r="P2026" s="388"/>
    </row>
    <row r="2027" spans="1:17" ht="14.25">
      <c r="A2027" s="190"/>
      <c r="C2027" s="193"/>
      <c r="E2027" s="193"/>
      <c r="G2027" s="193"/>
      <c r="O2027" s="128"/>
      <c r="P2027" s="388"/>
    </row>
    <row r="2028" spans="1:17" ht="30" customHeight="1">
      <c r="A2028" s="247" t="s">
        <v>738</v>
      </c>
      <c r="B2028" s="548" t="s">
        <v>737</v>
      </c>
      <c r="C2028" s="548"/>
      <c r="D2028" s="548"/>
      <c r="E2028" s="548"/>
      <c r="F2028" s="548"/>
      <c r="G2028" s="548"/>
      <c r="H2028" s="548"/>
      <c r="I2028" s="548"/>
      <c r="J2028" s="548"/>
      <c r="K2028" s="548"/>
      <c r="L2028" s="548"/>
      <c r="M2028" s="548"/>
      <c r="N2028" s="548"/>
      <c r="O2028" s="378">
        <v>101881</v>
      </c>
      <c r="P2028" s="128"/>
      <c r="Q2028" s="248"/>
    </row>
    <row r="2029" spans="1:17" ht="14.25">
      <c r="A2029" s="190"/>
      <c r="C2029" s="193"/>
      <c r="E2029" s="193"/>
      <c r="G2029" s="193"/>
      <c r="O2029" s="128"/>
      <c r="P2029" s="388"/>
    </row>
    <row r="2030" spans="1:17" ht="15" customHeight="1">
      <c r="A2030" s="190"/>
      <c r="C2030" s="193" t="s">
        <v>87</v>
      </c>
      <c r="E2030" s="193"/>
      <c r="G2030" s="193"/>
      <c r="O2030" s="339"/>
    </row>
    <row r="2031" spans="1:17" ht="15" customHeight="1">
      <c r="A2031" s="190"/>
      <c r="B2031" s="191" t="s">
        <v>92</v>
      </c>
      <c r="C2031" s="192">
        <f>3</f>
        <v>3</v>
      </c>
      <c r="D2031" s="191" t="s">
        <v>82</v>
      </c>
      <c r="E2031" s="193"/>
      <c r="G2031" s="193"/>
      <c r="O2031" s="128"/>
      <c r="P2031" s="388"/>
    </row>
    <row r="2032" spans="1:17" ht="14.25">
      <c r="A2032" s="190"/>
      <c r="C2032" s="193"/>
      <c r="E2032" s="193"/>
      <c r="G2032" s="193"/>
      <c r="O2032" s="128"/>
      <c r="P2032" s="388"/>
    </row>
    <row r="2033" spans="1:17">
      <c r="A2033" s="245" t="s">
        <v>1372</v>
      </c>
      <c r="B2033" s="548" t="s">
        <v>980</v>
      </c>
      <c r="C2033" s="548"/>
      <c r="D2033" s="548"/>
      <c r="E2033" s="548"/>
      <c r="F2033" s="548"/>
      <c r="G2033" s="548"/>
      <c r="H2033" s="548"/>
      <c r="I2033" s="548"/>
      <c r="J2033" s="548"/>
      <c r="K2033" s="548"/>
      <c r="L2033" s="548"/>
      <c r="M2033" s="548"/>
      <c r="N2033" s="548"/>
      <c r="O2033" s="378" t="s">
        <v>981</v>
      </c>
      <c r="P2033" s="248" t="s">
        <v>970</v>
      </c>
    </row>
    <row r="2034" spans="1:17" ht="14.25">
      <c r="A2034" s="190"/>
      <c r="C2034" s="193"/>
      <c r="E2034" s="193"/>
      <c r="G2034" s="193"/>
      <c r="O2034" s="128"/>
      <c r="P2034" s="388"/>
    </row>
    <row r="2035" spans="1:17" ht="15" customHeight="1">
      <c r="A2035" s="190"/>
      <c r="C2035" s="193" t="s">
        <v>87</v>
      </c>
      <c r="G2035" s="193"/>
      <c r="O2035" s="339"/>
    </row>
    <row r="2036" spans="1:17" ht="15" customHeight="1">
      <c r="A2036" s="190"/>
      <c r="B2036" s="191" t="s">
        <v>92</v>
      </c>
      <c r="C2036" s="192">
        <v>1</v>
      </c>
      <c r="D2036" s="191" t="s">
        <v>82</v>
      </c>
      <c r="E2036" s="193"/>
      <c r="G2036" s="193"/>
      <c r="O2036" s="128"/>
      <c r="P2036" s="388"/>
    </row>
    <row r="2037" spans="1:17" ht="14.25" customHeight="1">
      <c r="A2037" s="190"/>
      <c r="E2037" s="193"/>
      <c r="G2037" s="193"/>
      <c r="O2037" s="339"/>
      <c r="Q2037" s="129"/>
    </row>
    <row r="2038" spans="1:17" ht="14.25" customHeight="1">
      <c r="A2038" s="188" t="s">
        <v>739</v>
      </c>
      <c r="B2038" s="551" t="s">
        <v>740</v>
      </c>
      <c r="C2038" s="552"/>
      <c r="D2038" s="552"/>
      <c r="E2038" s="552"/>
      <c r="F2038" s="552"/>
      <c r="G2038" s="552"/>
      <c r="H2038" s="552"/>
      <c r="I2038" s="552"/>
      <c r="J2038" s="552"/>
      <c r="K2038" s="552"/>
      <c r="L2038" s="552"/>
      <c r="M2038" s="552"/>
      <c r="N2038" s="552"/>
      <c r="O2038" s="346"/>
      <c r="P2038" s="347"/>
      <c r="Q2038" s="129"/>
    </row>
    <row r="2039" spans="1:17" ht="14.25" customHeight="1">
      <c r="A2039" s="194"/>
      <c r="B2039" s="136"/>
      <c r="C2039" s="136"/>
      <c r="D2039" s="136"/>
      <c r="E2039" s="136"/>
      <c r="F2039" s="136"/>
      <c r="G2039" s="136"/>
      <c r="H2039" s="136"/>
      <c r="I2039" s="136"/>
      <c r="J2039" s="136"/>
      <c r="K2039" s="136"/>
      <c r="L2039" s="136"/>
      <c r="M2039" s="136"/>
      <c r="N2039" s="136"/>
      <c r="O2039" s="346"/>
      <c r="P2039" s="347"/>
    </row>
    <row r="2040" spans="1:17" ht="14.25" customHeight="1">
      <c r="A2040" s="245" t="s">
        <v>741</v>
      </c>
      <c r="B2040" s="544" t="s">
        <v>1300</v>
      </c>
      <c r="C2040" s="550"/>
      <c r="D2040" s="550"/>
      <c r="E2040" s="550"/>
      <c r="F2040" s="550"/>
      <c r="G2040" s="550"/>
      <c r="H2040" s="550"/>
      <c r="I2040" s="550"/>
      <c r="J2040" s="550"/>
      <c r="K2040" s="550"/>
      <c r="L2040" s="550"/>
      <c r="M2040" s="550"/>
      <c r="N2040" s="550"/>
      <c r="O2040" s="252" t="s">
        <v>1301</v>
      </c>
      <c r="P2040" s="350" t="s">
        <v>74</v>
      </c>
    </row>
    <row r="2041" spans="1:17" ht="14.25" customHeight="1">
      <c r="A2041" s="190"/>
      <c r="C2041" s="193"/>
      <c r="E2041" s="193"/>
      <c r="G2041" s="193"/>
      <c r="O2041" s="339"/>
    </row>
    <row r="2042" spans="1:17" ht="15" customHeight="1">
      <c r="A2042" s="190"/>
      <c r="C2042" s="193" t="s">
        <v>87</v>
      </c>
      <c r="E2042" s="193"/>
      <c r="G2042" s="193"/>
      <c r="O2042" s="339"/>
    </row>
    <row r="2043" spans="1:17" ht="15" customHeight="1">
      <c r="A2043" s="190"/>
      <c r="B2043" s="191" t="s">
        <v>92</v>
      </c>
      <c r="C2043" s="192">
        <v>4</v>
      </c>
      <c r="D2043" s="191" t="s">
        <v>82</v>
      </c>
      <c r="E2043" s="193"/>
      <c r="G2043" s="193"/>
      <c r="O2043" s="388"/>
      <c r="P2043" s="128"/>
    </row>
    <row r="2044" spans="1:17" ht="14.25">
      <c r="A2044" s="190"/>
      <c r="C2044" s="193"/>
      <c r="E2044" s="193"/>
      <c r="G2044" s="193"/>
      <c r="O2044" s="388"/>
      <c r="P2044" s="128"/>
    </row>
    <row r="2045" spans="1:17" ht="14.25" customHeight="1">
      <c r="A2045" s="245" t="s">
        <v>742</v>
      </c>
      <c r="B2045" s="544" t="s">
        <v>1081</v>
      </c>
      <c r="C2045" s="544"/>
      <c r="D2045" s="544"/>
      <c r="E2045" s="544"/>
      <c r="F2045" s="544"/>
      <c r="G2045" s="544"/>
      <c r="H2045" s="544"/>
      <c r="I2045" s="544"/>
      <c r="J2045" s="544"/>
      <c r="K2045" s="544"/>
      <c r="L2045" s="544"/>
      <c r="M2045" s="544"/>
      <c r="N2045" s="544"/>
      <c r="O2045" s="252" t="s">
        <v>1082</v>
      </c>
      <c r="P2045" s="350" t="s">
        <v>74</v>
      </c>
    </row>
    <row r="2046" spans="1:17" ht="14.25" customHeight="1">
      <c r="A2046" s="190"/>
      <c r="C2046" s="193"/>
      <c r="E2046" s="193"/>
      <c r="G2046" s="193"/>
      <c r="O2046" s="339"/>
    </row>
    <row r="2047" spans="1:17" ht="15" customHeight="1">
      <c r="A2047" s="190"/>
      <c r="C2047" s="193" t="s">
        <v>87</v>
      </c>
      <c r="E2047" s="193"/>
      <c r="G2047" s="193"/>
      <c r="O2047" s="339"/>
    </row>
    <row r="2048" spans="1:17" ht="15" customHeight="1">
      <c r="A2048" s="190"/>
      <c r="B2048" s="191" t="s">
        <v>92</v>
      </c>
      <c r="C2048" s="192">
        <v>7</v>
      </c>
      <c r="D2048" s="191" t="s">
        <v>82</v>
      </c>
      <c r="E2048" s="193"/>
      <c r="G2048" s="193"/>
      <c r="O2048" s="388"/>
      <c r="P2048" s="128"/>
    </row>
    <row r="2049" spans="1:17" ht="14.25">
      <c r="A2049" s="190"/>
      <c r="C2049" s="193"/>
      <c r="E2049" s="193"/>
      <c r="G2049" s="193"/>
      <c r="O2049" s="388"/>
      <c r="P2049" s="128"/>
    </row>
    <row r="2050" spans="1:17" ht="14.25" customHeight="1">
      <c r="A2050" s="245" t="s">
        <v>743</v>
      </c>
      <c r="B2050" s="544" t="s">
        <v>1302</v>
      </c>
      <c r="C2050" s="544"/>
      <c r="D2050" s="544"/>
      <c r="E2050" s="544"/>
      <c r="F2050" s="544"/>
      <c r="G2050" s="544"/>
      <c r="H2050" s="544"/>
      <c r="I2050" s="544"/>
      <c r="J2050" s="544"/>
      <c r="K2050" s="544"/>
      <c r="L2050" s="544"/>
      <c r="M2050" s="544"/>
      <c r="N2050" s="544"/>
      <c r="O2050" s="252" t="s">
        <v>1303</v>
      </c>
      <c r="P2050" s="350" t="s">
        <v>74</v>
      </c>
    </row>
    <row r="2051" spans="1:17" ht="14.25" customHeight="1">
      <c r="A2051" s="190"/>
      <c r="C2051" s="193"/>
      <c r="E2051" s="193"/>
      <c r="G2051" s="193"/>
      <c r="O2051" s="339"/>
    </row>
    <row r="2052" spans="1:17" ht="15" customHeight="1">
      <c r="A2052" s="190"/>
      <c r="C2052" s="193" t="s">
        <v>87</v>
      </c>
      <c r="E2052" s="193"/>
      <c r="G2052" s="193"/>
      <c r="O2052" s="339"/>
    </row>
    <row r="2053" spans="1:17" ht="15" customHeight="1">
      <c r="A2053" s="190"/>
      <c r="B2053" s="191" t="s">
        <v>92</v>
      </c>
      <c r="C2053" s="192">
        <v>1</v>
      </c>
      <c r="D2053" s="191" t="s">
        <v>82</v>
      </c>
      <c r="E2053" s="193"/>
      <c r="G2053" s="193"/>
      <c r="O2053" s="388"/>
      <c r="P2053" s="128"/>
    </row>
    <row r="2054" spans="1:17" ht="14.25">
      <c r="A2054" s="190"/>
      <c r="C2054" s="193"/>
      <c r="E2054" s="193"/>
      <c r="G2054" s="193"/>
      <c r="O2054" s="388"/>
      <c r="P2054" s="128"/>
    </row>
    <row r="2055" spans="1:17" ht="14.25" customHeight="1">
      <c r="A2055" s="245" t="s">
        <v>744</v>
      </c>
      <c r="B2055" s="544" t="s">
        <v>1050</v>
      </c>
      <c r="C2055" s="544"/>
      <c r="D2055" s="544"/>
      <c r="E2055" s="544"/>
      <c r="F2055" s="544"/>
      <c r="G2055" s="544"/>
      <c r="H2055" s="544"/>
      <c r="I2055" s="544"/>
      <c r="J2055" s="544"/>
      <c r="K2055" s="544"/>
      <c r="L2055" s="544"/>
      <c r="M2055" s="544"/>
      <c r="N2055" s="544"/>
      <c r="O2055" s="252" t="s">
        <v>1083</v>
      </c>
      <c r="P2055" s="350" t="s">
        <v>74</v>
      </c>
    </row>
    <row r="2056" spans="1:17" ht="14.25" customHeight="1">
      <c r="A2056" s="190"/>
      <c r="C2056" s="193"/>
      <c r="E2056" s="193"/>
      <c r="G2056" s="193"/>
      <c r="O2056" s="339"/>
    </row>
    <row r="2057" spans="1:17" ht="15" customHeight="1">
      <c r="A2057" s="190"/>
      <c r="C2057" s="193" t="s">
        <v>87</v>
      </c>
      <c r="E2057" s="193"/>
      <c r="G2057" s="193"/>
      <c r="O2057" s="339"/>
    </row>
    <row r="2058" spans="1:17" ht="15" customHeight="1">
      <c r="A2058" s="190"/>
      <c r="B2058" s="191" t="s">
        <v>92</v>
      </c>
      <c r="C2058" s="192">
        <v>1</v>
      </c>
      <c r="D2058" s="191" t="s">
        <v>82</v>
      </c>
      <c r="E2058" s="193"/>
      <c r="G2058" s="193"/>
      <c r="O2058" s="388"/>
      <c r="P2058" s="128"/>
    </row>
    <row r="2059" spans="1:17" ht="14.25">
      <c r="A2059" s="190"/>
      <c r="C2059" s="193"/>
      <c r="E2059" s="193"/>
      <c r="G2059" s="193"/>
      <c r="O2059" s="388"/>
      <c r="P2059" s="128"/>
    </row>
    <row r="2060" spans="1:17" ht="15" customHeight="1">
      <c r="A2060" s="247" t="s">
        <v>746</v>
      </c>
      <c r="B2060" s="548" t="s">
        <v>745</v>
      </c>
      <c r="C2060" s="548"/>
      <c r="D2060" s="548"/>
      <c r="E2060" s="548"/>
      <c r="F2060" s="548"/>
      <c r="G2060" s="548"/>
      <c r="H2060" s="548"/>
      <c r="I2060" s="548"/>
      <c r="J2060" s="548"/>
      <c r="K2060" s="548"/>
      <c r="L2060" s="548"/>
      <c r="M2060" s="548"/>
      <c r="N2060" s="548"/>
      <c r="O2060" s="378">
        <v>93653</v>
      </c>
      <c r="P2060" s="128"/>
      <c r="Q2060" s="248"/>
    </row>
    <row r="2061" spans="1:17" ht="14.25">
      <c r="A2061" s="190"/>
      <c r="C2061" s="193"/>
      <c r="E2061" s="193"/>
      <c r="G2061" s="193"/>
      <c r="O2061" s="388"/>
      <c r="P2061" s="128"/>
    </row>
    <row r="2062" spans="1:17" ht="15" customHeight="1">
      <c r="A2062" s="190"/>
      <c r="C2062" s="193" t="s">
        <v>87</v>
      </c>
      <c r="E2062" s="193"/>
      <c r="G2062" s="193"/>
      <c r="O2062" s="339"/>
    </row>
    <row r="2063" spans="1:17" ht="15" customHeight="1">
      <c r="A2063" s="190"/>
      <c r="B2063" s="191" t="s">
        <v>92</v>
      </c>
      <c r="C2063" s="192">
        <f>23+17</f>
        <v>40</v>
      </c>
      <c r="D2063" s="191" t="s">
        <v>82</v>
      </c>
      <c r="E2063" s="193"/>
      <c r="G2063" s="193"/>
      <c r="O2063" s="388"/>
      <c r="P2063" s="128"/>
    </row>
    <row r="2064" spans="1:17" ht="14.25">
      <c r="A2064" s="190"/>
      <c r="C2064" s="193"/>
      <c r="E2064" s="193"/>
      <c r="G2064" s="193"/>
      <c r="O2064" s="388"/>
      <c r="P2064" s="128"/>
    </row>
    <row r="2065" spans="1:17" ht="15" customHeight="1">
      <c r="A2065" s="247" t="s">
        <v>748</v>
      </c>
      <c r="B2065" s="548" t="s">
        <v>747</v>
      </c>
      <c r="C2065" s="548"/>
      <c r="D2065" s="548"/>
      <c r="E2065" s="548"/>
      <c r="F2065" s="548"/>
      <c r="G2065" s="548"/>
      <c r="H2065" s="548"/>
      <c r="I2065" s="548"/>
      <c r="J2065" s="548"/>
      <c r="K2065" s="548"/>
      <c r="L2065" s="548"/>
      <c r="M2065" s="548"/>
      <c r="N2065" s="548"/>
      <c r="O2065" s="378">
        <v>93654</v>
      </c>
      <c r="P2065" s="128"/>
      <c r="Q2065" s="248"/>
    </row>
    <row r="2066" spans="1:17" ht="14.25">
      <c r="A2066" s="190"/>
      <c r="C2066" s="193"/>
      <c r="E2066" s="193"/>
      <c r="G2066" s="193"/>
      <c r="O2066" s="128"/>
      <c r="P2066" s="388"/>
    </row>
    <row r="2067" spans="1:17" ht="15" customHeight="1">
      <c r="A2067" s="190"/>
      <c r="C2067" s="193" t="s">
        <v>87</v>
      </c>
      <c r="E2067" s="193"/>
      <c r="G2067" s="193"/>
      <c r="O2067" s="339"/>
    </row>
    <row r="2068" spans="1:17" ht="15" customHeight="1">
      <c r="A2068" s="190"/>
      <c r="B2068" s="191" t="s">
        <v>92</v>
      </c>
      <c r="C2068" s="192">
        <f>4+2</f>
        <v>6</v>
      </c>
      <c r="D2068" s="191" t="s">
        <v>82</v>
      </c>
      <c r="E2068" s="193"/>
      <c r="G2068" s="193"/>
      <c r="O2068" s="128"/>
      <c r="P2068" s="388"/>
    </row>
    <row r="2069" spans="1:17" ht="14.25">
      <c r="A2069" s="190"/>
      <c r="C2069" s="193"/>
      <c r="E2069" s="193"/>
      <c r="G2069" s="193"/>
      <c r="O2069" s="128"/>
      <c r="P2069" s="388"/>
    </row>
    <row r="2070" spans="1:17" ht="15" customHeight="1">
      <c r="A2070" s="247" t="s">
        <v>750</v>
      </c>
      <c r="B2070" s="548" t="s">
        <v>749</v>
      </c>
      <c r="C2070" s="548"/>
      <c r="D2070" s="548"/>
      <c r="E2070" s="548"/>
      <c r="F2070" s="548"/>
      <c r="G2070" s="548"/>
      <c r="H2070" s="548"/>
      <c r="I2070" s="548"/>
      <c r="J2070" s="548"/>
      <c r="K2070" s="548"/>
      <c r="L2070" s="548"/>
      <c r="M2070" s="548"/>
      <c r="N2070" s="548"/>
      <c r="O2070" s="378">
        <v>93655</v>
      </c>
      <c r="P2070" s="128"/>
      <c r="Q2070" s="248"/>
    </row>
    <row r="2071" spans="1:17" ht="14.25">
      <c r="A2071" s="190"/>
      <c r="C2071" s="193"/>
      <c r="E2071" s="193"/>
      <c r="G2071" s="193"/>
      <c r="O2071" s="388"/>
      <c r="P2071" s="128"/>
    </row>
    <row r="2072" spans="1:17" ht="15" customHeight="1">
      <c r="A2072" s="190"/>
      <c r="C2072" s="193" t="s">
        <v>87</v>
      </c>
      <c r="E2072" s="193"/>
      <c r="G2072" s="193"/>
      <c r="O2072" s="339"/>
    </row>
    <row r="2073" spans="1:17" ht="15" customHeight="1">
      <c r="A2073" s="190"/>
      <c r="B2073" s="191" t="s">
        <v>92</v>
      </c>
      <c r="C2073" s="192">
        <f>1+10</f>
        <v>11</v>
      </c>
      <c r="D2073" s="191" t="s">
        <v>82</v>
      </c>
      <c r="E2073" s="193"/>
      <c r="G2073" s="193"/>
      <c r="O2073" s="388"/>
      <c r="P2073" s="128"/>
    </row>
    <row r="2074" spans="1:17" ht="14.25">
      <c r="A2074" s="190"/>
      <c r="C2074" s="193"/>
      <c r="E2074" s="193"/>
      <c r="G2074" s="193"/>
      <c r="O2074" s="388"/>
      <c r="P2074" s="128"/>
    </row>
    <row r="2075" spans="1:17" ht="15" customHeight="1">
      <c r="A2075" s="247" t="s">
        <v>751</v>
      </c>
      <c r="B2075" s="548" t="s">
        <v>1304</v>
      </c>
      <c r="C2075" s="548"/>
      <c r="D2075" s="548"/>
      <c r="E2075" s="548"/>
      <c r="F2075" s="548"/>
      <c r="G2075" s="548"/>
      <c r="H2075" s="548"/>
      <c r="I2075" s="548"/>
      <c r="J2075" s="548"/>
      <c r="K2075" s="548"/>
      <c r="L2075" s="548"/>
      <c r="M2075" s="548"/>
      <c r="N2075" s="548"/>
      <c r="O2075" s="378">
        <v>93658</v>
      </c>
      <c r="P2075" s="128"/>
      <c r="Q2075" s="248"/>
    </row>
    <row r="2076" spans="1:17" ht="14.25">
      <c r="A2076" s="190"/>
      <c r="C2076" s="193"/>
      <c r="E2076" s="193"/>
      <c r="G2076" s="193"/>
      <c r="O2076" s="388"/>
      <c r="P2076" s="128"/>
    </row>
    <row r="2077" spans="1:17" ht="15" customHeight="1">
      <c r="A2077" s="190"/>
      <c r="C2077" s="193" t="s">
        <v>87</v>
      </c>
      <c r="E2077" s="193"/>
      <c r="G2077" s="193"/>
      <c r="O2077" s="339"/>
    </row>
    <row r="2078" spans="1:17" ht="15" customHeight="1">
      <c r="A2078" s="190"/>
      <c r="B2078" s="191" t="s">
        <v>92</v>
      </c>
      <c r="C2078" s="192">
        <v>2</v>
      </c>
      <c r="D2078" s="191" t="s">
        <v>82</v>
      </c>
      <c r="E2078" s="193"/>
      <c r="G2078" s="193"/>
      <c r="O2078" s="388"/>
      <c r="P2078" s="128"/>
    </row>
    <row r="2079" spans="1:17" ht="14.25">
      <c r="A2079" s="190"/>
      <c r="C2079" s="193"/>
      <c r="E2079" s="193"/>
      <c r="G2079" s="193"/>
      <c r="O2079" s="388"/>
      <c r="P2079" s="128"/>
    </row>
    <row r="2080" spans="1:17" ht="15" customHeight="1">
      <c r="A2080" s="247" t="s">
        <v>904</v>
      </c>
      <c r="B2080" s="548" t="s">
        <v>1084</v>
      </c>
      <c r="C2080" s="548"/>
      <c r="D2080" s="548"/>
      <c r="E2080" s="548"/>
      <c r="F2080" s="548"/>
      <c r="G2080" s="548"/>
      <c r="H2080" s="548"/>
      <c r="I2080" s="548"/>
      <c r="J2080" s="548"/>
      <c r="K2080" s="548"/>
      <c r="L2080" s="548"/>
      <c r="M2080" s="548"/>
      <c r="N2080" s="548"/>
      <c r="O2080" s="378">
        <v>93667</v>
      </c>
      <c r="P2080" s="248"/>
    </row>
    <row r="2081" spans="1:17" ht="14.25">
      <c r="A2081" s="190"/>
      <c r="C2081" s="193"/>
      <c r="E2081" s="193"/>
      <c r="G2081" s="193"/>
      <c r="O2081" s="128"/>
      <c r="P2081" s="388"/>
    </row>
    <row r="2082" spans="1:17" ht="15" customHeight="1">
      <c r="A2082" s="190"/>
      <c r="C2082" s="193" t="s">
        <v>87</v>
      </c>
      <c r="E2082" s="193"/>
      <c r="G2082" s="193"/>
      <c r="O2082" s="339"/>
    </row>
    <row r="2083" spans="1:17" ht="15" customHeight="1">
      <c r="A2083" s="190"/>
      <c r="B2083" s="191" t="s">
        <v>92</v>
      </c>
      <c r="C2083" s="192">
        <v>1</v>
      </c>
      <c r="D2083" s="191" t="s">
        <v>82</v>
      </c>
      <c r="E2083" s="193"/>
      <c r="G2083" s="193"/>
      <c r="O2083" s="128"/>
      <c r="P2083" s="388"/>
    </row>
    <row r="2084" spans="1:17" ht="14.25">
      <c r="A2084" s="190"/>
      <c r="C2084" s="193"/>
      <c r="E2084" s="193"/>
      <c r="G2084" s="193"/>
      <c r="O2084" s="128"/>
      <c r="P2084" s="388"/>
    </row>
    <row r="2085" spans="1:17" ht="15" customHeight="1">
      <c r="A2085" s="247" t="s">
        <v>905</v>
      </c>
      <c r="B2085" s="548" t="s">
        <v>1085</v>
      </c>
      <c r="C2085" s="548"/>
      <c r="D2085" s="548"/>
      <c r="E2085" s="548"/>
      <c r="F2085" s="548"/>
      <c r="G2085" s="548"/>
      <c r="H2085" s="548"/>
      <c r="I2085" s="548"/>
      <c r="J2085" s="548"/>
      <c r="K2085" s="548"/>
      <c r="L2085" s="548"/>
      <c r="M2085" s="548"/>
      <c r="N2085" s="548"/>
      <c r="O2085" s="378">
        <v>93669</v>
      </c>
      <c r="P2085" s="128"/>
      <c r="Q2085" s="248"/>
    </row>
    <row r="2086" spans="1:17" ht="14.25">
      <c r="A2086" s="190"/>
      <c r="C2086" s="193"/>
      <c r="E2086" s="193"/>
      <c r="G2086" s="193"/>
      <c r="O2086" s="388"/>
      <c r="P2086" s="128"/>
    </row>
    <row r="2087" spans="1:17" ht="15" customHeight="1">
      <c r="A2087" s="190"/>
      <c r="C2087" s="193" t="s">
        <v>87</v>
      </c>
      <c r="E2087" s="193"/>
      <c r="G2087" s="193"/>
      <c r="O2087" s="339"/>
    </row>
    <row r="2088" spans="1:17" ht="15" customHeight="1">
      <c r="A2088" s="190"/>
      <c r="B2088" s="191" t="s">
        <v>92</v>
      </c>
      <c r="C2088" s="192">
        <v>1</v>
      </c>
      <c r="D2088" s="191" t="s">
        <v>82</v>
      </c>
      <c r="E2088" s="193"/>
      <c r="G2088" s="193"/>
      <c r="O2088" s="388"/>
      <c r="P2088" s="128"/>
    </row>
    <row r="2089" spans="1:17" ht="14.25">
      <c r="A2089" s="190"/>
      <c r="C2089" s="193"/>
      <c r="E2089" s="193"/>
      <c r="G2089" s="193"/>
      <c r="O2089" s="388"/>
      <c r="P2089" s="128"/>
    </row>
    <row r="2090" spans="1:17" ht="15" customHeight="1">
      <c r="A2090" s="247" t="s">
        <v>752</v>
      </c>
      <c r="B2090" s="548" t="s">
        <v>1305</v>
      </c>
      <c r="C2090" s="548"/>
      <c r="D2090" s="548"/>
      <c r="E2090" s="548"/>
      <c r="F2090" s="548"/>
      <c r="G2090" s="548"/>
      <c r="H2090" s="548"/>
      <c r="I2090" s="548"/>
      <c r="J2090" s="548"/>
      <c r="K2090" s="548"/>
      <c r="L2090" s="548"/>
      <c r="M2090" s="548"/>
      <c r="N2090" s="548"/>
      <c r="O2090" s="378">
        <v>93671</v>
      </c>
      <c r="P2090" s="128"/>
      <c r="Q2090" s="248"/>
    </row>
    <row r="2091" spans="1:17" ht="14.25">
      <c r="A2091" s="190"/>
      <c r="C2091" s="193"/>
      <c r="E2091" s="193"/>
      <c r="G2091" s="193"/>
      <c r="O2091" s="388"/>
      <c r="P2091" s="128"/>
    </row>
    <row r="2092" spans="1:17" ht="15" customHeight="1">
      <c r="A2092" s="190"/>
      <c r="C2092" s="193" t="s">
        <v>87</v>
      </c>
      <c r="E2092" s="193"/>
      <c r="G2092" s="193"/>
      <c r="O2092" s="339"/>
    </row>
    <row r="2093" spans="1:17" ht="15" customHeight="1">
      <c r="A2093" s="190"/>
      <c r="B2093" s="191" t="s">
        <v>92</v>
      </c>
      <c r="C2093" s="192">
        <v>4</v>
      </c>
      <c r="D2093" s="191" t="s">
        <v>82</v>
      </c>
      <c r="E2093" s="193"/>
      <c r="G2093" s="193"/>
      <c r="O2093" s="388"/>
      <c r="P2093" s="128"/>
    </row>
    <row r="2094" spans="1:17" ht="14.25">
      <c r="A2094" s="190"/>
      <c r="C2094" s="193"/>
      <c r="E2094" s="193"/>
      <c r="G2094" s="193"/>
      <c r="O2094" s="388"/>
      <c r="P2094" s="128"/>
    </row>
    <row r="2095" spans="1:17" ht="15" customHeight="1">
      <c r="A2095" s="247" t="s">
        <v>753</v>
      </c>
      <c r="B2095" s="548" t="s">
        <v>1306</v>
      </c>
      <c r="C2095" s="548"/>
      <c r="D2095" s="548"/>
      <c r="E2095" s="548"/>
      <c r="F2095" s="548"/>
      <c r="G2095" s="548"/>
      <c r="H2095" s="548"/>
      <c r="I2095" s="548"/>
      <c r="J2095" s="548"/>
      <c r="K2095" s="548"/>
      <c r="L2095" s="548"/>
      <c r="M2095" s="548"/>
      <c r="N2095" s="548"/>
      <c r="O2095" s="378">
        <v>93672</v>
      </c>
      <c r="P2095" s="128"/>
      <c r="Q2095" s="248"/>
    </row>
    <row r="2096" spans="1:17" ht="14.25">
      <c r="A2096" s="190"/>
      <c r="C2096" s="193"/>
      <c r="E2096" s="193"/>
      <c r="G2096" s="193"/>
      <c r="O2096" s="388"/>
      <c r="P2096" s="128"/>
    </row>
    <row r="2097" spans="1:17" ht="15" customHeight="1">
      <c r="A2097" s="190"/>
      <c r="C2097" s="193" t="s">
        <v>87</v>
      </c>
      <c r="E2097" s="193"/>
      <c r="G2097" s="193"/>
      <c r="O2097" s="339"/>
    </row>
    <row r="2098" spans="1:17" ht="15" customHeight="1">
      <c r="A2098" s="190"/>
      <c r="B2098" s="191" t="s">
        <v>92</v>
      </c>
      <c r="C2098" s="192">
        <v>2</v>
      </c>
      <c r="D2098" s="191" t="s">
        <v>82</v>
      </c>
      <c r="E2098" s="193"/>
      <c r="G2098" s="193"/>
      <c r="O2098" s="388"/>
      <c r="P2098" s="128"/>
    </row>
    <row r="2099" spans="1:17" ht="14.25">
      <c r="A2099" s="190"/>
      <c r="C2099" s="193"/>
      <c r="E2099" s="193"/>
      <c r="G2099" s="193"/>
      <c r="O2099" s="388"/>
      <c r="P2099" s="128"/>
    </row>
    <row r="2100" spans="1:17" ht="15" customHeight="1">
      <c r="A2100" s="247" t="s">
        <v>754</v>
      </c>
      <c r="B2100" s="548" t="s">
        <v>1308</v>
      </c>
      <c r="C2100" s="548"/>
      <c r="D2100" s="548"/>
      <c r="E2100" s="548"/>
      <c r="F2100" s="548"/>
      <c r="G2100" s="548"/>
      <c r="H2100" s="548"/>
      <c r="I2100" s="548"/>
      <c r="J2100" s="548"/>
      <c r="K2100" s="548"/>
      <c r="L2100" s="548"/>
      <c r="M2100" s="548"/>
      <c r="N2100" s="548"/>
      <c r="O2100" s="378" t="s">
        <v>1309</v>
      </c>
      <c r="P2100" s="128" t="s">
        <v>1076</v>
      </c>
      <c r="Q2100" s="248"/>
    </row>
    <row r="2101" spans="1:17" ht="14.25">
      <c r="A2101" s="190"/>
      <c r="C2101" s="193"/>
      <c r="E2101" s="193"/>
      <c r="G2101" s="193"/>
      <c r="O2101" s="388"/>
      <c r="P2101" s="128"/>
    </row>
    <row r="2102" spans="1:17" ht="15" customHeight="1">
      <c r="A2102" s="190"/>
      <c r="C2102" s="193" t="s">
        <v>87</v>
      </c>
      <c r="E2102" s="193"/>
      <c r="G2102" s="193"/>
      <c r="O2102" s="339"/>
    </row>
    <row r="2103" spans="1:17" ht="15" customHeight="1">
      <c r="A2103" s="190"/>
      <c r="B2103" s="191" t="s">
        <v>92</v>
      </c>
      <c r="C2103" s="192">
        <f>2+2</f>
        <v>4</v>
      </c>
      <c r="D2103" s="191" t="s">
        <v>82</v>
      </c>
      <c r="E2103" s="193"/>
      <c r="G2103" s="193"/>
      <c r="O2103" s="388"/>
      <c r="P2103" s="128"/>
    </row>
    <row r="2104" spans="1:17" ht="14.25">
      <c r="A2104" s="190"/>
      <c r="C2104" s="193"/>
      <c r="E2104" s="193"/>
      <c r="G2104" s="193"/>
      <c r="O2104" s="388"/>
      <c r="P2104" s="128"/>
    </row>
    <row r="2105" spans="1:17" ht="15" customHeight="1">
      <c r="A2105" s="247" t="s">
        <v>755</v>
      </c>
      <c r="B2105" s="548" t="s">
        <v>1307</v>
      </c>
      <c r="C2105" s="548"/>
      <c r="D2105" s="548"/>
      <c r="E2105" s="548"/>
      <c r="F2105" s="548"/>
      <c r="G2105" s="548"/>
      <c r="H2105" s="548"/>
      <c r="I2105" s="548"/>
      <c r="J2105" s="548"/>
      <c r="K2105" s="548"/>
      <c r="L2105" s="548"/>
      <c r="M2105" s="548"/>
      <c r="N2105" s="548"/>
      <c r="O2105" s="378">
        <v>101898</v>
      </c>
      <c r="P2105" s="128"/>
      <c r="Q2105" s="248"/>
    </row>
    <row r="2106" spans="1:17" ht="14.25">
      <c r="A2106" s="190"/>
      <c r="C2106" s="193"/>
      <c r="E2106" s="193"/>
      <c r="G2106" s="193"/>
      <c r="O2106" s="128"/>
      <c r="P2106" s="388"/>
    </row>
    <row r="2107" spans="1:17" ht="15" customHeight="1">
      <c r="A2107" s="190"/>
      <c r="C2107" s="193" t="s">
        <v>87</v>
      </c>
      <c r="E2107" s="193"/>
      <c r="G2107" s="193"/>
      <c r="O2107" s="339"/>
    </row>
    <row r="2108" spans="1:17" ht="15" customHeight="1">
      <c r="A2108" s="190"/>
      <c r="B2108" s="191" t="s">
        <v>92</v>
      </c>
      <c r="C2108" s="192">
        <v>1</v>
      </c>
      <c r="D2108" s="191" t="s">
        <v>82</v>
      </c>
      <c r="E2108" s="193"/>
      <c r="G2108" s="193"/>
      <c r="O2108" s="128"/>
      <c r="P2108" s="388"/>
    </row>
    <row r="2109" spans="1:17" ht="14.25">
      <c r="A2109" s="190"/>
      <c r="C2109" s="193"/>
      <c r="E2109" s="193"/>
      <c r="G2109" s="193"/>
      <c r="O2109" s="128"/>
      <c r="P2109" s="388"/>
    </row>
    <row r="2110" spans="1:17" ht="14.25" customHeight="1">
      <c r="A2110" s="188" t="s">
        <v>756</v>
      </c>
      <c r="B2110" s="551" t="s">
        <v>757</v>
      </c>
      <c r="C2110" s="552"/>
      <c r="D2110" s="552"/>
      <c r="E2110" s="552"/>
      <c r="F2110" s="552"/>
      <c r="G2110" s="552"/>
      <c r="H2110" s="552"/>
      <c r="I2110" s="552"/>
      <c r="J2110" s="552"/>
      <c r="K2110" s="552"/>
      <c r="L2110" s="552"/>
      <c r="M2110" s="552"/>
      <c r="N2110" s="552"/>
      <c r="O2110" s="346"/>
      <c r="P2110" s="347"/>
    </row>
    <row r="2111" spans="1:17" ht="14.25" customHeight="1">
      <c r="A2111" s="190"/>
      <c r="C2111" s="193"/>
      <c r="E2111" s="193"/>
      <c r="G2111" s="193"/>
      <c r="O2111" s="339"/>
    </row>
    <row r="2112" spans="1:17">
      <c r="A2112" s="247" t="s">
        <v>758</v>
      </c>
      <c r="B2112" s="548" t="s">
        <v>759</v>
      </c>
      <c r="C2112" s="548"/>
      <c r="D2112" s="548"/>
      <c r="E2112" s="548"/>
      <c r="F2112" s="548"/>
      <c r="G2112" s="548"/>
      <c r="H2112" s="548"/>
      <c r="I2112" s="548"/>
      <c r="J2112" s="548"/>
      <c r="K2112" s="548"/>
      <c r="L2112" s="548"/>
      <c r="M2112" s="548"/>
      <c r="N2112" s="548"/>
      <c r="O2112" s="378">
        <v>91834</v>
      </c>
      <c r="P2112" s="128"/>
      <c r="Q2112" s="248"/>
    </row>
    <row r="2113" spans="1:17" ht="15.75" customHeight="1">
      <c r="A2113" s="202"/>
      <c r="B2113" s="249"/>
      <c r="C2113" s="249"/>
      <c r="D2113" s="249"/>
      <c r="E2113" s="249"/>
      <c r="F2113" s="249"/>
      <c r="G2113" s="249"/>
      <c r="H2113" s="249"/>
      <c r="I2113" s="249"/>
      <c r="J2113" s="249"/>
      <c r="K2113" s="249"/>
      <c r="L2113" s="249"/>
      <c r="M2113" s="249"/>
      <c r="N2113" s="249"/>
      <c r="O2113" s="378"/>
      <c r="P2113" s="128"/>
      <c r="Q2113" s="248"/>
    </row>
    <row r="2114" spans="1:17" ht="14.25">
      <c r="A2114" s="190"/>
      <c r="C2114" s="193" t="s">
        <v>75</v>
      </c>
      <c r="E2114" s="193"/>
      <c r="G2114" s="193"/>
      <c r="O2114" s="388"/>
      <c r="P2114" s="128"/>
    </row>
    <row r="2115" spans="1:17" ht="15" customHeight="1">
      <c r="A2115" s="190"/>
      <c r="B2115" s="191" t="s">
        <v>92</v>
      </c>
      <c r="C2115" s="274">
        <v>10.68</v>
      </c>
      <c r="D2115" s="191" t="s">
        <v>50</v>
      </c>
      <c r="E2115" s="193"/>
      <c r="G2115" s="193"/>
      <c r="O2115" s="388"/>
      <c r="P2115" s="128"/>
    </row>
    <row r="2116" spans="1:17" ht="14.25">
      <c r="A2116" s="190"/>
      <c r="C2116" s="193"/>
      <c r="E2116" s="193"/>
      <c r="G2116" s="193"/>
      <c r="O2116" s="388"/>
      <c r="P2116" s="128"/>
    </row>
    <row r="2117" spans="1:17" ht="15" customHeight="1">
      <c r="A2117" s="247" t="s">
        <v>760</v>
      </c>
      <c r="B2117" s="548" t="s">
        <v>763</v>
      </c>
      <c r="C2117" s="548"/>
      <c r="D2117" s="548"/>
      <c r="E2117" s="548"/>
      <c r="F2117" s="548"/>
      <c r="G2117" s="548"/>
      <c r="H2117" s="548"/>
      <c r="I2117" s="548"/>
      <c r="J2117" s="548"/>
      <c r="K2117" s="548"/>
      <c r="L2117" s="548"/>
      <c r="M2117" s="548"/>
      <c r="N2117" s="548"/>
      <c r="O2117" s="378">
        <v>91840</v>
      </c>
      <c r="P2117" s="128"/>
      <c r="Q2117" s="248"/>
    </row>
    <row r="2118" spans="1:17" ht="15.75" customHeight="1">
      <c r="A2118" s="202"/>
      <c r="B2118" s="249"/>
      <c r="C2118" s="249"/>
      <c r="D2118" s="249"/>
      <c r="E2118" s="249"/>
      <c r="F2118" s="249"/>
      <c r="G2118" s="249"/>
      <c r="H2118" s="249"/>
      <c r="I2118" s="249"/>
      <c r="J2118" s="249"/>
      <c r="K2118" s="249"/>
      <c r="L2118" s="249"/>
      <c r="M2118" s="249"/>
      <c r="N2118" s="249"/>
      <c r="O2118" s="249"/>
      <c r="P2118" s="378"/>
      <c r="Q2118" s="248"/>
    </row>
    <row r="2119" spans="1:17" ht="14.25">
      <c r="A2119" s="190"/>
      <c r="C2119" s="193" t="s">
        <v>75</v>
      </c>
      <c r="E2119" s="193"/>
      <c r="G2119" s="193"/>
      <c r="O2119" s="128"/>
      <c r="P2119" s="388"/>
    </row>
    <row r="2120" spans="1:17" ht="15" customHeight="1">
      <c r="A2120" s="190"/>
      <c r="B2120" s="191" t="s">
        <v>92</v>
      </c>
      <c r="C2120" s="274">
        <v>62.41</v>
      </c>
      <c r="D2120" s="191" t="s">
        <v>50</v>
      </c>
      <c r="E2120" s="193"/>
      <c r="G2120" s="193"/>
      <c r="O2120" s="128"/>
      <c r="P2120" s="388"/>
    </row>
    <row r="2121" spans="1:17" ht="14.25">
      <c r="A2121" s="190"/>
      <c r="C2121" s="193"/>
      <c r="E2121" s="193"/>
      <c r="G2121" s="193"/>
      <c r="O2121" s="128"/>
      <c r="P2121" s="388"/>
    </row>
    <row r="2122" spans="1:17" ht="15" customHeight="1">
      <c r="A2122" s="247" t="s">
        <v>761</v>
      </c>
      <c r="B2122" s="548" t="s">
        <v>1086</v>
      </c>
      <c r="C2122" s="548"/>
      <c r="D2122" s="548"/>
      <c r="E2122" s="548"/>
      <c r="F2122" s="548"/>
      <c r="G2122" s="548"/>
      <c r="H2122" s="548"/>
      <c r="I2122" s="548"/>
      <c r="J2122" s="548"/>
      <c r="K2122" s="548"/>
      <c r="L2122" s="548"/>
      <c r="M2122" s="548"/>
      <c r="N2122" s="548"/>
      <c r="O2122" s="378">
        <v>97667</v>
      </c>
      <c r="P2122" s="128"/>
      <c r="Q2122" s="248"/>
    </row>
    <row r="2123" spans="1:17" ht="15.75" customHeight="1">
      <c r="A2123" s="202"/>
      <c r="B2123" s="249"/>
      <c r="C2123" s="249"/>
      <c r="D2123" s="249"/>
      <c r="E2123" s="249"/>
      <c r="F2123" s="249"/>
      <c r="G2123" s="249"/>
      <c r="H2123" s="249"/>
      <c r="I2123" s="249"/>
      <c r="J2123" s="249"/>
      <c r="K2123" s="249"/>
      <c r="L2123" s="249"/>
      <c r="M2123" s="249"/>
      <c r="N2123" s="249"/>
      <c r="O2123" s="249"/>
      <c r="P2123" s="378"/>
      <c r="Q2123" s="248"/>
    </row>
    <row r="2124" spans="1:17" ht="14.25">
      <c r="A2124" s="190"/>
      <c r="C2124" s="193" t="s">
        <v>75</v>
      </c>
      <c r="E2124" s="193"/>
      <c r="G2124" s="193"/>
      <c r="O2124" s="128"/>
      <c r="P2124" s="388"/>
    </row>
    <row r="2125" spans="1:17" ht="15" customHeight="1">
      <c r="A2125" s="190"/>
      <c r="B2125" s="191" t="s">
        <v>92</v>
      </c>
      <c r="C2125" s="274">
        <v>41.6</v>
      </c>
      <c r="D2125" s="191" t="s">
        <v>50</v>
      </c>
      <c r="E2125" s="193"/>
      <c r="G2125" s="193"/>
      <c r="O2125" s="128"/>
      <c r="P2125" s="388"/>
    </row>
    <row r="2126" spans="1:17" ht="14.25">
      <c r="A2126" s="190"/>
      <c r="C2126" s="193"/>
      <c r="E2126" s="193"/>
      <c r="G2126" s="193"/>
      <c r="O2126" s="128"/>
      <c r="P2126" s="388"/>
    </row>
    <row r="2127" spans="1:17" ht="15" customHeight="1">
      <c r="A2127" s="247" t="s">
        <v>762</v>
      </c>
      <c r="B2127" s="548" t="s">
        <v>1087</v>
      </c>
      <c r="C2127" s="548"/>
      <c r="D2127" s="548"/>
      <c r="E2127" s="548"/>
      <c r="F2127" s="548"/>
      <c r="G2127" s="548"/>
      <c r="H2127" s="548"/>
      <c r="I2127" s="548"/>
      <c r="J2127" s="548"/>
      <c r="K2127" s="548"/>
      <c r="L2127" s="548"/>
      <c r="M2127" s="548"/>
      <c r="N2127" s="548"/>
      <c r="O2127" s="378">
        <v>91863</v>
      </c>
      <c r="P2127" s="128"/>
      <c r="Q2127" s="248"/>
    </row>
    <row r="2128" spans="1:17" ht="15.75" customHeight="1">
      <c r="A2128" s="202"/>
      <c r="B2128" s="249"/>
      <c r="C2128" s="249"/>
      <c r="D2128" s="249"/>
      <c r="E2128" s="249"/>
      <c r="F2128" s="249"/>
      <c r="G2128" s="249"/>
      <c r="H2128" s="249"/>
      <c r="I2128" s="249"/>
      <c r="J2128" s="249"/>
      <c r="K2128" s="249"/>
      <c r="L2128" s="249"/>
      <c r="M2128" s="249"/>
      <c r="N2128" s="249"/>
      <c r="O2128" s="378"/>
      <c r="P2128" s="128"/>
      <c r="Q2128" s="248"/>
    </row>
    <row r="2129" spans="1:17" ht="14.25">
      <c r="A2129" s="190"/>
      <c r="C2129" s="193" t="s">
        <v>75</v>
      </c>
      <c r="E2129" s="193"/>
      <c r="G2129" s="193"/>
      <c r="O2129" s="388"/>
      <c r="P2129" s="128"/>
    </row>
    <row r="2130" spans="1:17" ht="15" customHeight="1">
      <c r="A2130" s="190"/>
      <c r="B2130" s="191" t="s">
        <v>92</v>
      </c>
      <c r="C2130" s="274">
        <v>1140.03</v>
      </c>
      <c r="D2130" s="191" t="s">
        <v>50</v>
      </c>
      <c r="E2130" s="193"/>
      <c r="G2130" s="193"/>
      <c r="O2130" s="388"/>
      <c r="P2130" s="128"/>
    </row>
    <row r="2131" spans="1:17" ht="14.25">
      <c r="A2131" s="190"/>
      <c r="C2131" s="193"/>
      <c r="E2131" s="193"/>
      <c r="G2131" s="193"/>
      <c r="O2131" s="388"/>
      <c r="P2131" s="128"/>
    </row>
    <row r="2132" spans="1:17" ht="15" customHeight="1">
      <c r="A2132" s="247" t="s">
        <v>764</v>
      </c>
      <c r="B2132" s="548" t="s">
        <v>770</v>
      </c>
      <c r="C2132" s="548"/>
      <c r="D2132" s="548"/>
      <c r="E2132" s="548"/>
      <c r="F2132" s="548"/>
      <c r="G2132" s="548"/>
      <c r="H2132" s="548"/>
      <c r="I2132" s="548"/>
      <c r="J2132" s="548"/>
      <c r="K2132" s="548"/>
      <c r="L2132" s="548"/>
      <c r="M2132" s="548"/>
      <c r="N2132" s="548"/>
      <c r="O2132" s="378">
        <v>91865</v>
      </c>
      <c r="P2132" s="128"/>
      <c r="Q2132" s="248"/>
    </row>
    <row r="2133" spans="1:17" ht="15.75" customHeight="1">
      <c r="A2133" s="202"/>
      <c r="B2133" s="249"/>
      <c r="C2133" s="249"/>
      <c r="D2133" s="249"/>
      <c r="E2133" s="249"/>
      <c r="F2133" s="249"/>
      <c r="G2133" s="249"/>
      <c r="H2133" s="249"/>
      <c r="I2133" s="249"/>
      <c r="J2133" s="249"/>
      <c r="K2133" s="249"/>
      <c r="L2133" s="249"/>
      <c r="M2133" s="249"/>
      <c r="N2133" s="249"/>
      <c r="O2133" s="249"/>
      <c r="P2133" s="378"/>
      <c r="Q2133" s="248"/>
    </row>
    <row r="2134" spans="1:17" ht="14.25">
      <c r="A2134" s="190"/>
      <c r="C2134" s="193" t="s">
        <v>75</v>
      </c>
      <c r="E2134" s="193"/>
      <c r="G2134" s="193"/>
      <c r="O2134" s="128"/>
      <c r="P2134" s="388"/>
    </row>
    <row r="2135" spans="1:17" ht="15" customHeight="1">
      <c r="A2135" s="190"/>
      <c r="B2135" s="191" t="s">
        <v>92</v>
      </c>
      <c r="C2135" s="274">
        <v>11.71</v>
      </c>
      <c r="D2135" s="191" t="s">
        <v>50</v>
      </c>
      <c r="E2135" s="193"/>
      <c r="G2135" s="193"/>
      <c r="O2135" s="128"/>
      <c r="P2135" s="388"/>
    </row>
    <row r="2136" spans="1:17" ht="14.25">
      <c r="A2136" s="190"/>
      <c r="C2136" s="193"/>
      <c r="E2136" s="193"/>
      <c r="G2136" s="193"/>
      <c r="O2136" s="128"/>
      <c r="P2136" s="388"/>
    </row>
    <row r="2137" spans="1:17" ht="33" customHeight="1">
      <c r="A2137" s="245" t="s">
        <v>765</v>
      </c>
      <c r="B2137" s="544" t="s">
        <v>1310</v>
      </c>
      <c r="C2137" s="544"/>
      <c r="D2137" s="544"/>
      <c r="E2137" s="544"/>
      <c r="F2137" s="544"/>
      <c r="G2137" s="544"/>
      <c r="H2137" s="544"/>
      <c r="I2137" s="544"/>
      <c r="J2137" s="544"/>
      <c r="K2137" s="544"/>
      <c r="L2137" s="544"/>
      <c r="M2137" s="544"/>
      <c r="N2137" s="544"/>
      <c r="O2137" s="252" t="s">
        <v>1311</v>
      </c>
      <c r="P2137" s="350" t="s">
        <v>970</v>
      </c>
    </row>
    <row r="2138" spans="1:17" ht="14.25" customHeight="1">
      <c r="A2138" s="194"/>
      <c r="B2138" s="246"/>
      <c r="C2138" s="246"/>
      <c r="D2138" s="246"/>
      <c r="E2138" s="246"/>
      <c r="F2138" s="246"/>
      <c r="G2138" s="246"/>
      <c r="H2138" s="246"/>
      <c r="I2138" s="246"/>
      <c r="J2138" s="246"/>
      <c r="K2138" s="246"/>
      <c r="L2138" s="246"/>
      <c r="M2138" s="246"/>
      <c r="N2138" s="246"/>
      <c r="O2138" s="252"/>
      <c r="P2138" s="350"/>
    </row>
    <row r="2139" spans="1:17" ht="14.25" customHeight="1">
      <c r="A2139" s="194"/>
      <c r="B2139" s="246"/>
      <c r="C2139" s="259" t="s">
        <v>75</v>
      </c>
      <c r="D2139" s="246"/>
      <c r="E2139" s="246"/>
      <c r="F2139" s="246"/>
      <c r="G2139" s="251"/>
      <c r="H2139" s="246"/>
      <c r="I2139" s="246"/>
      <c r="J2139" s="246"/>
      <c r="K2139" s="246"/>
      <c r="L2139" s="246"/>
      <c r="M2139" s="246"/>
      <c r="N2139" s="246"/>
      <c r="O2139" s="252"/>
      <c r="P2139" s="350"/>
    </row>
    <row r="2140" spans="1:17" ht="14.25" customHeight="1">
      <c r="A2140" s="190"/>
      <c r="B2140" s="191" t="s">
        <v>92</v>
      </c>
      <c r="C2140" s="192">
        <f>81.14*1.1</f>
        <v>89.254000000000005</v>
      </c>
      <c r="D2140" s="191" t="s">
        <v>50</v>
      </c>
      <c r="E2140" s="193"/>
      <c r="G2140" s="193"/>
      <c r="O2140" s="339"/>
    </row>
    <row r="2141" spans="1:17" ht="14.25" customHeight="1">
      <c r="A2141" s="190"/>
      <c r="C2141" s="193"/>
      <c r="E2141" s="193"/>
      <c r="G2141" s="193"/>
      <c r="O2141" s="339"/>
    </row>
    <row r="2142" spans="1:17" ht="15" customHeight="1">
      <c r="A2142" s="247" t="s">
        <v>766</v>
      </c>
      <c r="B2142" s="548" t="s">
        <v>1088</v>
      </c>
      <c r="C2142" s="548"/>
      <c r="D2142" s="548"/>
      <c r="E2142" s="548"/>
      <c r="F2142" s="548"/>
      <c r="G2142" s="548"/>
      <c r="H2142" s="548"/>
      <c r="I2142" s="548"/>
      <c r="J2142" s="548"/>
      <c r="K2142" s="548"/>
      <c r="L2142" s="548"/>
      <c r="M2142" s="548"/>
      <c r="N2142" s="548"/>
      <c r="O2142" s="378">
        <v>97882</v>
      </c>
      <c r="P2142" s="128"/>
      <c r="Q2142" s="248"/>
    </row>
    <row r="2143" spans="1:17" ht="14.25">
      <c r="A2143" s="190"/>
      <c r="C2143" s="193"/>
      <c r="E2143" s="193"/>
      <c r="G2143" s="193"/>
      <c r="O2143" s="388"/>
      <c r="P2143" s="128"/>
    </row>
    <row r="2144" spans="1:17" ht="14.25">
      <c r="A2144" s="190"/>
      <c r="C2144" s="193" t="s">
        <v>87</v>
      </c>
      <c r="E2144" s="193"/>
      <c r="G2144" s="193"/>
      <c r="O2144" s="388"/>
      <c r="P2144" s="128"/>
    </row>
    <row r="2145" spans="1:17" ht="15" customHeight="1">
      <c r="A2145" s="190"/>
      <c r="B2145" s="191" t="s">
        <v>92</v>
      </c>
      <c r="C2145" s="192">
        <f>14+2</f>
        <v>16</v>
      </c>
      <c r="D2145" s="191" t="s">
        <v>82</v>
      </c>
      <c r="E2145" s="193"/>
      <c r="G2145" s="193"/>
      <c r="O2145" s="388"/>
      <c r="P2145" s="128"/>
    </row>
    <row r="2146" spans="1:17" ht="14.25">
      <c r="A2146" s="190"/>
      <c r="C2146" s="193"/>
      <c r="E2146" s="193"/>
      <c r="G2146" s="193"/>
      <c r="O2146" s="388"/>
      <c r="P2146" s="128"/>
    </row>
    <row r="2147" spans="1:17" ht="15" customHeight="1">
      <c r="A2147" s="247" t="s">
        <v>768</v>
      </c>
      <c r="B2147" s="548" t="s">
        <v>774</v>
      </c>
      <c r="C2147" s="548"/>
      <c r="D2147" s="548"/>
      <c r="E2147" s="548"/>
      <c r="F2147" s="548"/>
      <c r="G2147" s="548"/>
      <c r="H2147" s="548"/>
      <c r="I2147" s="548"/>
      <c r="J2147" s="548"/>
      <c r="K2147" s="548"/>
      <c r="L2147" s="548"/>
      <c r="M2147" s="548"/>
      <c r="N2147" s="548"/>
      <c r="O2147" s="378">
        <v>91940</v>
      </c>
      <c r="P2147" s="128"/>
      <c r="Q2147" s="248"/>
    </row>
    <row r="2148" spans="1:17" ht="14.25">
      <c r="A2148" s="190"/>
      <c r="C2148" s="193"/>
      <c r="E2148" s="193"/>
      <c r="G2148" s="193"/>
      <c r="O2148" s="128"/>
      <c r="P2148" s="388"/>
    </row>
    <row r="2149" spans="1:17" ht="15" customHeight="1">
      <c r="A2149" s="190"/>
      <c r="C2149" s="193" t="s">
        <v>87</v>
      </c>
      <c r="E2149" s="193"/>
      <c r="G2149" s="193"/>
      <c r="O2149" s="339"/>
    </row>
    <row r="2150" spans="1:17" ht="15" customHeight="1">
      <c r="A2150" s="307" t="s">
        <v>98</v>
      </c>
      <c r="B2150" s="191" t="s">
        <v>92</v>
      </c>
      <c r="C2150" s="192">
        <f>4+9</f>
        <v>13</v>
      </c>
      <c r="D2150" s="191" t="s">
        <v>82</v>
      </c>
      <c r="E2150" s="193"/>
      <c r="G2150" s="193"/>
      <c r="O2150" s="128"/>
      <c r="P2150" s="388"/>
    </row>
    <row r="2151" spans="1:17" ht="14.25">
      <c r="A2151" s="190"/>
      <c r="C2151" s="193"/>
      <c r="E2151" s="193"/>
      <c r="G2151" s="193"/>
      <c r="O2151" s="128"/>
      <c r="P2151" s="388"/>
    </row>
    <row r="2152" spans="1:17" ht="14.25" customHeight="1">
      <c r="A2152" s="245" t="s">
        <v>769</v>
      </c>
      <c r="B2152" s="544" t="s">
        <v>776</v>
      </c>
      <c r="C2152" s="550"/>
      <c r="D2152" s="550"/>
      <c r="E2152" s="550"/>
      <c r="F2152" s="550"/>
      <c r="G2152" s="550"/>
      <c r="H2152" s="550"/>
      <c r="I2152" s="550"/>
      <c r="J2152" s="550"/>
      <c r="K2152" s="550"/>
      <c r="L2152" s="550"/>
      <c r="M2152" s="550"/>
      <c r="N2152" s="550"/>
      <c r="O2152" s="252">
        <v>91936</v>
      </c>
      <c r="P2152" s="350"/>
    </row>
    <row r="2153" spans="1:17" ht="14.25" customHeight="1">
      <c r="A2153" s="190"/>
      <c r="C2153" s="193"/>
      <c r="E2153" s="193"/>
      <c r="G2153" s="193"/>
      <c r="O2153" s="339"/>
    </row>
    <row r="2154" spans="1:17" ht="14.25" customHeight="1">
      <c r="A2154" s="190"/>
      <c r="C2154" s="193" t="s">
        <v>87</v>
      </c>
      <c r="E2154" s="193"/>
      <c r="G2154" s="193"/>
      <c r="O2154" s="339"/>
    </row>
    <row r="2155" spans="1:17" ht="14.25" customHeight="1">
      <c r="A2155" s="190"/>
      <c r="B2155" s="191" t="s">
        <v>92</v>
      </c>
      <c r="C2155" s="192">
        <v>109</v>
      </c>
      <c r="D2155" s="191" t="s">
        <v>82</v>
      </c>
      <c r="E2155" s="193"/>
      <c r="G2155" s="193"/>
      <c r="O2155" s="339"/>
    </row>
    <row r="2156" spans="1:17" ht="14.25" customHeight="1">
      <c r="A2156" s="190"/>
      <c r="C2156" s="193"/>
      <c r="E2156" s="193"/>
      <c r="G2156" s="193"/>
      <c r="O2156" s="339"/>
    </row>
    <row r="2157" spans="1:17" ht="15" customHeight="1">
      <c r="A2157" s="247" t="s">
        <v>771</v>
      </c>
      <c r="B2157" s="548" t="s">
        <v>778</v>
      </c>
      <c r="C2157" s="548"/>
      <c r="D2157" s="548"/>
      <c r="E2157" s="548"/>
      <c r="F2157" s="548"/>
      <c r="G2157" s="548"/>
      <c r="H2157" s="548"/>
      <c r="I2157" s="548"/>
      <c r="J2157" s="548"/>
      <c r="K2157" s="548"/>
      <c r="L2157" s="548"/>
      <c r="M2157" s="548"/>
      <c r="N2157" s="548"/>
      <c r="O2157" s="378">
        <v>91890</v>
      </c>
      <c r="P2157" s="128"/>
      <c r="Q2157" s="248"/>
    </row>
    <row r="2158" spans="1:17" ht="14.25">
      <c r="A2158" s="190"/>
      <c r="C2158" s="193"/>
      <c r="E2158" s="193"/>
      <c r="G2158" s="193"/>
      <c r="O2158" s="128"/>
      <c r="P2158" s="388"/>
    </row>
    <row r="2159" spans="1:17" ht="15" customHeight="1">
      <c r="A2159" s="190"/>
      <c r="C2159" s="193" t="s">
        <v>87</v>
      </c>
      <c r="E2159" s="193"/>
      <c r="G2159" s="193"/>
      <c r="O2159" s="339"/>
    </row>
    <row r="2160" spans="1:17" ht="15" customHeight="1">
      <c r="A2160" s="190"/>
      <c r="B2160" s="191" t="s">
        <v>92</v>
      </c>
      <c r="C2160" s="192">
        <f>132+247</f>
        <v>379</v>
      </c>
      <c r="D2160" s="191" t="s">
        <v>82</v>
      </c>
      <c r="E2160" s="193"/>
      <c r="G2160" s="193"/>
      <c r="O2160" s="128"/>
      <c r="P2160" s="388"/>
    </row>
    <row r="2161" spans="1:17" ht="14.25">
      <c r="A2161" s="190"/>
      <c r="C2161" s="193"/>
      <c r="E2161" s="193"/>
      <c r="G2161" s="193"/>
      <c r="O2161" s="128"/>
      <c r="P2161" s="388"/>
    </row>
    <row r="2162" spans="1:17" ht="16.5" customHeight="1">
      <c r="A2162" s="247" t="s">
        <v>772</v>
      </c>
      <c r="B2162" s="548" t="s">
        <v>1089</v>
      </c>
      <c r="C2162" s="548"/>
      <c r="D2162" s="548"/>
      <c r="E2162" s="548"/>
      <c r="F2162" s="548"/>
      <c r="G2162" s="548"/>
      <c r="H2162" s="548"/>
      <c r="I2162" s="548"/>
      <c r="J2162" s="548"/>
      <c r="K2162" s="548"/>
      <c r="L2162" s="548"/>
      <c r="M2162" s="548"/>
      <c r="N2162" s="548"/>
      <c r="O2162" s="378">
        <v>91896</v>
      </c>
      <c r="P2162" s="128"/>
      <c r="Q2162" s="248"/>
    </row>
    <row r="2163" spans="1:17" ht="14.25">
      <c r="A2163" s="190"/>
      <c r="C2163" s="193"/>
      <c r="E2163" s="193"/>
      <c r="G2163" s="193"/>
      <c r="O2163" s="388"/>
      <c r="P2163" s="128"/>
    </row>
    <row r="2164" spans="1:17" ht="15" customHeight="1">
      <c r="A2164" s="190"/>
      <c r="C2164" s="193" t="s">
        <v>87</v>
      </c>
      <c r="E2164" s="193"/>
      <c r="G2164" s="193"/>
      <c r="O2164" s="339"/>
    </row>
    <row r="2165" spans="1:17" ht="15" customHeight="1">
      <c r="A2165" s="190"/>
      <c r="B2165" s="191" t="s">
        <v>92</v>
      </c>
      <c r="C2165" s="192">
        <f>9</f>
        <v>9</v>
      </c>
      <c r="D2165" s="191" t="s">
        <v>82</v>
      </c>
      <c r="E2165" s="193"/>
      <c r="G2165" s="193"/>
      <c r="O2165" s="388"/>
      <c r="P2165" s="128"/>
    </row>
    <row r="2166" spans="1:17" ht="14.25">
      <c r="A2166" s="190"/>
      <c r="C2166" s="193"/>
      <c r="E2166" s="193"/>
      <c r="G2166" s="193"/>
      <c r="O2166" s="388"/>
      <c r="P2166" s="128"/>
    </row>
    <row r="2167" spans="1:17" ht="15" customHeight="1">
      <c r="A2167" s="247" t="s">
        <v>773</v>
      </c>
      <c r="B2167" s="548" t="s">
        <v>779</v>
      </c>
      <c r="C2167" s="548"/>
      <c r="D2167" s="548"/>
      <c r="E2167" s="548"/>
      <c r="F2167" s="548"/>
      <c r="G2167" s="548"/>
      <c r="H2167" s="548"/>
      <c r="I2167" s="548"/>
      <c r="J2167" s="548"/>
      <c r="K2167" s="548"/>
      <c r="L2167" s="548"/>
      <c r="M2167" s="548"/>
      <c r="N2167" s="548"/>
      <c r="O2167" s="378">
        <v>91875</v>
      </c>
      <c r="P2167" s="128"/>
      <c r="Q2167" s="248"/>
    </row>
    <row r="2168" spans="1:17" ht="14.25">
      <c r="A2168" s="190"/>
      <c r="C2168" s="193"/>
      <c r="E2168" s="193"/>
      <c r="G2168" s="193"/>
      <c r="O2168" s="388"/>
      <c r="P2168" s="128"/>
    </row>
    <row r="2169" spans="1:17" ht="15" customHeight="1">
      <c r="A2169" s="190"/>
      <c r="C2169" s="193" t="s">
        <v>87</v>
      </c>
      <c r="E2169" s="193"/>
      <c r="G2169" s="193"/>
      <c r="O2169" s="339"/>
    </row>
    <row r="2170" spans="1:17" ht="15" customHeight="1">
      <c r="A2170" s="190"/>
      <c r="B2170" s="191" t="s">
        <v>92</v>
      </c>
      <c r="C2170" s="274">
        <v>758</v>
      </c>
      <c r="D2170" s="191" t="s">
        <v>82</v>
      </c>
      <c r="E2170" s="193"/>
      <c r="G2170" s="193"/>
      <c r="O2170" s="388"/>
      <c r="P2170" s="128"/>
    </row>
    <row r="2171" spans="1:17" ht="14.25">
      <c r="A2171" s="190"/>
      <c r="C2171" s="193"/>
      <c r="E2171" s="193"/>
      <c r="G2171" s="193"/>
      <c r="O2171" s="388"/>
      <c r="P2171" s="128"/>
    </row>
    <row r="2172" spans="1:17" ht="15" customHeight="1">
      <c r="A2172" s="247" t="s">
        <v>775</v>
      </c>
      <c r="B2172" s="548" t="s">
        <v>780</v>
      </c>
      <c r="C2172" s="548"/>
      <c r="D2172" s="548"/>
      <c r="E2172" s="548"/>
      <c r="F2172" s="548"/>
      <c r="G2172" s="548"/>
      <c r="H2172" s="548"/>
      <c r="I2172" s="548"/>
      <c r="J2172" s="548"/>
      <c r="K2172" s="548"/>
      <c r="L2172" s="548"/>
      <c r="M2172" s="548"/>
      <c r="N2172" s="548"/>
      <c r="O2172" s="378">
        <v>91877</v>
      </c>
      <c r="P2172" s="128"/>
      <c r="Q2172" s="248"/>
    </row>
    <row r="2173" spans="1:17" ht="14.25">
      <c r="A2173" s="190"/>
      <c r="C2173" s="193"/>
      <c r="E2173" s="193"/>
      <c r="G2173" s="193"/>
      <c r="O2173" s="128"/>
      <c r="P2173" s="388"/>
    </row>
    <row r="2174" spans="1:17" ht="15" customHeight="1">
      <c r="A2174" s="190"/>
      <c r="C2174" s="193" t="s">
        <v>87</v>
      </c>
      <c r="E2174" s="193"/>
      <c r="G2174" s="193"/>
      <c r="O2174" s="339"/>
    </row>
    <row r="2175" spans="1:17" ht="15" customHeight="1">
      <c r="A2175" s="190"/>
      <c r="B2175" s="191" t="s">
        <v>92</v>
      </c>
      <c r="C2175" s="274">
        <v>18</v>
      </c>
      <c r="D2175" s="191" t="s">
        <v>82</v>
      </c>
      <c r="E2175" s="193"/>
      <c r="G2175" s="193"/>
      <c r="O2175" s="128"/>
      <c r="P2175" s="388"/>
    </row>
    <row r="2176" spans="1:17" ht="14.25">
      <c r="A2176" s="190"/>
      <c r="C2176" s="193"/>
      <c r="E2176" s="193"/>
      <c r="G2176" s="193"/>
      <c r="O2176" s="128"/>
      <c r="P2176" s="388"/>
    </row>
    <row r="2177" spans="1:18">
      <c r="A2177" s="247" t="s">
        <v>777</v>
      </c>
      <c r="B2177" s="548" t="s">
        <v>1051</v>
      </c>
      <c r="C2177" s="548"/>
      <c r="D2177" s="548"/>
      <c r="E2177" s="548"/>
      <c r="F2177" s="548"/>
      <c r="G2177" s="548"/>
      <c r="H2177" s="548"/>
      <c r="I2177" s="548"/>
      <c r="J2177" s="548"/>
      <c r="K2177" s="548"/>
      <c r="L2177" s="548"/>
      <c r="M2177" s="548"/>
      <c r="N2177" s="548"/>
      <c r="O2177" s="378" t="s">
        <v>1052</v>
      </c>
      <c r="P2177" s="248" t="s">
        <v>74</v>
      </c>
    </row>
    <row r="2178" spans="1:18" ht="14.25">
      <c r="A2178" s="190"/>
      <c r="C2178" s="193"/>
      <c r="E2178" s="193"/>
      <c r="G2178" s="193"/>
      <c r="O2178" s="128"/>
      <c r="P2178" s="388"/>
    </row>
    <row r="2179" spans="1:18" ht="15" customHeight="1">
      <c r="A2179" s="190"/>
      <c r="C2179" s="193" t="s">
        <v>87</v>
      </c>
      <c r="E2179" s="193"/>
      <c r="G2179" s="193"/>
      <c r="O2179" s="339"/>
    </row>
    <row r="2180" spans="1:18" ht="15" customHeight="1">
      <c r="A2180" s="190"/>
      <c r="B2180" s="191" t="s">
        <v>92</v>
      </c>
      <c r="C2180" s="192">
        <v>20</v>
      </c>
      <c r="D2180" s="191" t="s">
        <v>82</v>
      </c>
      <c r="E2180" s="193"/>
      <c r="G2180" s="193"/>
      <c r="O2180" s="128"/>
      <c r="P2180" s="388"/>
    </row>
    <row r="2181" spans="1:18" ht="14.25">
      <c r="A2181" s="190"/>
      <c r="C2181" s="193"/>
      <c r="E2181" s="193"/>
      <c r="G2181" s="193"/>
      <c r="O2181" s="128"/>
      <c r="P2181" s="388"/>
    </row>
    <row r="2182" spans="1:18">
      <c r="A2182" s="205" t="s">
        <v>781</v>
      </c>
      <c r="B2182" s="549" t="s">
        <v>782</v>
      </c>
      <c r="C2182" s="549"/>
      <c r="D2182" s="549"/>
      <c r="E2182" s="549"/>
      <c r="F2182" s="549"/>
      <c r="G2182" s="549"/>
      <c r="H2182" s="549"/>
      <c r="I2182" s="549"/>
      <c r="J2182" s="549"/>
      <c r="K2182" s="549"/>
      <c r="L2182" s="549"/>
      <c r="M2182" s="549"/>
      <c r="N2182" s="549"/>
      <c r="O2182" s="341"/>
      <c r="P2182" s="389"/>
      <c r="Q2182" s="175"/>
      <c r="R2182" s="175"/>
    </row>
    <row r="2183" spans="1:18" ht="14.25">
      <c r="A2183" s="190"/>
      <c r="C2183" s="193"/>
      <c r="E2183" s="193"/>
      <c r="G2183" s="193"/>
      <c r="O2183" s="128"/>
      <c r="P2183" s="388"/>
    </row>
    <row r="2184" spans="1:18" ht="15" customHeight="1">
      <c r="A2184" s="247" t="s">
        <v>783</v>
      </c>
      <c r="B2184" s="548" t="s">
        <v>784</v>
      </c>
      <c r="C2184" s="548"/>
      <c r="D2184" s="548"/>
      <c r="E2184" s="548"/>
      <c r="F2184" s="548"/>
      <c r="G2184" s="548"/>
      <c r="H2184" s="548"/>
      <c r="I2184" s="548"/>
      <c r="J2184" s="548"/>
      <c r="K2184" s="548"/>
      <c r="L2184" s="548"/>
      <c r="M2184" s="548"/>
      <c r="N2184" s="548"/>
      <c r="O2184" s="378">
        <v>91924</v>
      </c>
      <c r="P2184" s="128"/>
      <c r="Q2184" s="248"/>
    </row>
    <row r="2185" spans="1:18" ht="14.25">
      <c r="A2185" s="190"/>
      <c r="C2185" s="193"/>
      <c r="E2185" s="193"/>
      <c r="G2185" s="193"/>
      <c r="O2185" s="128"/>
      <c r="P2185" s="388"/>
    </row>
    <row r="2186" spans="1:18" ht="14.25">
      <c r="A2186" s="190"/>
      <c r="C2186" s="193" t="s">
        <v>75</v>
      </c>
      <c r="E2186" s="193"/>
      <c r="G2186" s="193"/>
      <c r="O2186" s="128"/>
      <c r="P2186" s="388"/>
    </row>
    <row r="2187" spans="1:18" ht="15" customHeight="1">
      <c r="A2187" s="190"/>
      <c r="B2187" s="191" t="s">
        <v>92</v>
      </c>
      <c r="C2187" s="274">
        <f>116.35+157.87+427.24+436.13+54.76</f>
        <v>1192.3500000000001</v>
      </c>
      <c r="D2187" s="191" t="s">
        <v>50</v>
      </c>
      <c r="E2187" s="193"/>
      <c r="G2187" s="193"/>
      <c r="O2187" s="128"/>
      <c r="P2187" s="388"/>
    </row>
    <row r="2188" spans="1:18" ht="14.25">
      <c r="A2188" s="190"/>
      <c r="C2188" s="193"/>
      <c r="E2188" s="193"/>
      <c r="G2188" s="193"/>
      <c r="O2188" s="128"/>
      <c r="P2188" s="388"/>
    </row>
    <row r="2189" spans="1:18" ht="15.75" customHeight="1">
      <c r="A2189" s="247" t="s">
        <v>785</v>
      </c>
      <c r="B2189" s="548" t="s">
        <v>786</v>
      </c>
      <c r="C2189" s="548"/>
      <c r="D2189" s="548"/>
      <c r="E2189" s="548"/>
      <c r="F2189" s="548"/>
      <c r="G2189" s="548"/>
      <c r="H2189" s="548"/>
      <c r="I2189" s="548"/>
      <c r="J2189" s="548"/>
      <c r="K2189" s="548"/>
      <c r="L2189" s="548"/>
      <c r="M2189" s="548"/>
      <c r="N2189" s="548"/>
      <c r="O2189" s="378">
        <v>91926</v>
      </c>
      <c r="P2189" s="248"/>
    </row>
    <row r="2190" spans="1:18" ht="14.25">
      <c r="A2190" s="190"/>
      <c r="C2190" s="193"/>
      <c r="E2190" s="193"/>
      <c r="G2190" s="193"/>
      <c r="O2190" s="388"/>
      <c r="P2190" s="128"/>
    </row>
    <row r="2191" spans="1:18" ht="14.25">
      <c r="A2191" s="190"/>
      <c r="C2191" s="193" t="s">
        <v>75</v>
      </c>
      <c r="E2191" s="193"/>
      <c r="G2191" s="193"/>
      <c r="O2191" s="388"/>
      <c r="P2191" s="128"/>
    </row>
    <row r="2192" spans="1:18" ht="15" customHeight="1">
      <c r="A2192" s="190"/>
      <c r="B2192" s="191" t="s">
        <v>92</v>
      </c>
      <c r="C2192" s="274">
        <f>168.83+479.12+349.84+289.84+1235.24+604.92</f>
        <v>3127.79</v>
      </c>
      <c r="D2192" s="191" t="s">
        <v>50</v>
      </c>
      <c r="E2192" s="193"/>
      <c r="G2192" s="193"/>
      <c r="O2192" s="388"/>
      <c r="P2192" s="128"/>
    </row>
    <row r="2193" spans="1:17" ht="14.25">
      <c r="A2193" s="190"/>
      <c r="C2193" s="193"/>
      <c r="E2193" s="193"/>
      <c r="G2193" s="193"/>
      <c r="O2193" s="388"/>
      <c r="P2193" s="128"/>
    </row>
    <row r="2194" spans="1:17" ht="16.5" customHeight="1">
      <c r="A2194" s="247" t="s">
        <v>787</v>
      </c>
      <c r="B2194" s="548" t="s">
        <v>788</v>
      </c>
      <c r="C2194" s="548"/>
      <c r="D2194" s="548"/>
      <c r="E2194" s="548"/>
      <c r="F2194" s="548"/>
      <c r="G2194" s="548"/>
      <c r="H2194" s="548"/>
      <c r="I2194" s="548"/>
      <c r="J2194" s="548"/>
      <c r="K2194" s="548"/>
      <c r="L2194" s="548"/>
      <c r="M2194" s="548"/>
      <c r="N2194" s="548"/>
      <c r="O2194" s="378">
        <v>91928</v>
      </c>
      <c r="P2194" s="248"/>
    </row>
    <row r="2195" spans="1:17" ht="14.25">
      <c r="A2195" s="190"/>
      <c r="C2195" s="193"/>
      <c r="E2195" s="193"/>
      <c r="G2195" s="193"/>
      <c r="O2195" s="388"/>
      <c r="P2195" s="128"/>
    </row>
    <row r="2196" spans="1:17" ht="14.25">
      <c r="A2196" s="190"/>
      <c r="C2196" s="193" t="s">
        <v>75</v>
      </c>
      <c r="E2196" s="193"/>
      <c r="G2196" s="193"/>
      <c r="O2196" s="388"/>
      <c r="P2196" s="128"/>
    </row>
    <row r="2197" spans="1:17" ht="15" customHeight="1">
      <c r="A2197" s="190"/>
      <c r="B2197" s="191" t="s">
        <v>92</v>
      </c>
      <c r="C2197" s="274">
        <f>28.93+56.19+31.08+116.2+51</f>
        <v>283.39999999999998</v>
      </c>
      <c r="D2197" s="191" t="s">
        <v>50</v>
      </c>
      <c r="E2197" s="193"/>
      <c r="G2197" s="193"/>
      <c r="O2197" s="388"/>
      <c r="P2197" s="128"/>
    </row>
    <row r="2198" spans="1:17" ht="14.25">
      <c r="A2198" s="190"/>
      <c r="C2198" s="193"/>
      <c r="E2198" s="193"/>
      <c r="G2198" s="193"/>
      <c r="O2198" s="388"/>
      <c r="P2198" s="128"/>
    </row>
    <row r="2199" spans="1:17" ht="15" customHeight="1">
      <c r="A2199" s="247" t="s">
        <v>789</v>
      </c>
      <c r="B2199" s="548" t="s">
        <v>790</v>
      </c>
      <c r="C2199" s="548"/>
      <c r="D2199" s="548"/>
      <c r="E2199" s="548"/>
      <c r="F2199" s="548"/>
      <c r="G2199" s="548"/>
      <c r="H2199" s="548"/>
      <c r="I2199" s="548"/>
      <c r="J2199" s="548"/>
      <c r="K2199" s="548"/>
      <c r="L2199" s="548"/>
      <c r="M2199" s="548"/>
      <c r="N2199" s="548"/>
      <c r="O2199" s="378">
        <v>91930</v>
      </c>
      <c r="P2199" s="248"/>
    </row>
    <row r="2200" spans="1:17" ht="14.25">
      <c r="A2200" s="190"/>
      <c r="C2200" s="193"/>
      <c r="E2200" s="193"/>
      <c r="G2200" s="193"/>
      <c r="O2200" s="388"/>
      <c r="P2200" s="128"/>
    </row>
    <row r="2201" spans="1:17" ht="14.25">
      <c r="A2201" s="190"/>
      <c r="C2201" s="193" t="s">
        <v>75</v>
      </c>
      <c r="E2201" s="193"/>
      <c r="G2201" s="193"/>
      <c r="O2201" s="388"/>
      <c r="P2201" s="128"/>
    </row>
    <row r="2202" spans="1:17" ht="15" customHeight="1">
      <c r="A2202" s="190"/>
      <c r="B2202" s="191" t="s">
        <v>92</v>
      </c>
      <c r="C2202" s="274">
        <f>136.72+209.14+125.1+104.52+74.92</f>
        <v>650.4</v>
      </c>
      <c r="D2202" s="191" t="s">
        <v>50</v>
      </c>
      <c r="E2202" s="193"/>
      <c r="G2202" s="193"/>
      <c r="O2202" s="388"/>
      <c r="P2202" s="128"/>
    </row>
    <row r="2203" spans="1:17" ht="14.25">
      <c r="A2203" s="190"/>
      <c r="C2203" s="193"/>
      <c r="E2203" s="193"/>
      <c r="G2203" s="193"/>
      <c r="O2203" s="388"/>
      <c r="P2203" s="128"/>
    </row>
    <row r="2204" spans="1:17" ht="15" customHeight="1">
      <c r="A2204" s="247" t="s">
        <v>791</v>
      </c>
      <c r="B2204" s="548" t="s">
        <v>1316</v>
      </c>
      <c r="C2204" s="548"/>
      <c r="D2204" s="548"/>
      <c r="E2204" s="548"/>
      <c r="F2204" s="548"/>
      <c r="G2204" s="548"/>
      <c r="H2204" s="548"/>
      <c r="I2204" s="548"/>
      <c r="J2204" s="548"/>
      <c r="K2204" s="548"/>
      <c r="L2204" s="548"/>
      <c r="M2204" s="548"/>
      <c r="N2204" s="548"/>
      <c r="O2204" s="378">
        <v>91932</v>
      </c>
      <c r="P2204" s="128"/>
      <c r="Q2204" s="248"/>
    </row>
    <row r="2205" spans="1:17" ht="14.25">
      <c r="A2205" s="190"/>
      <c r="C2205" s="193"/>
      <c r="E2205" s="193"/>
      <c r="G2205" s="193"/>
      <c r="O2205" s="388"/>
      <c r="P2205" s="128"/>
    </row>
    <row r="2206" spans="1:17" ht="14.25">
      <c r="A2206" s="190"/>
      <c r="C2206" s="193" t="s">
        <v>75</v>
      </c>
      <c r="E2206" s="193"/>
      <c r="G2206" s="193"/>
      <c r="O2206" s="388"/>
      <c r="P2206" s="128"/>
    </row>
    <row r="2207" spans="1:17" ht="15" customHeight="1">
      <c r="A2207" s="190"/>
      <c r="B2207" s="191" t="s">
        <v>92</v>
      </c>
      <c r="C2207" s="274">
        <f>20.76*5</f>
        <v>103.80000000000001</v>
      </c>
      <c r="D2207" s="191" t="s">
        <v>50</v>
      </c>
      <c r="E2207" s="193"/>
      <c r="G2207" s="193"/>
      <c r="O2207" s="388"/>
      <c r="P2207" s="128"/>
    </row>
    <row r="2208" spans="1:17" ht="14.25">
      <c r="A2208" s="190"/>
      <c r="C2208" s="193"/>
      <c r="E2208" s="193"/>
      <c r="G2208" s="193"/>
      <c r="O2208" s="388"/>
      <c r="P2208" s="128"/>
    </row>
    <row r="2209" spans="1:17" ht="15" customHeight="1">
      <c r="A2209" s="247" t="s">
        <v>792</v>
      </c>
      <c r="B2209" s="548" t="s">
        <v>793</v>
      </c>
      <c r="C2209" s="548"/>
      <c r="D2209" s="548"/>
      <c r="E2209" s="548"/>
      <c r="F2209" s="548"/>
      <c r="G2209" s="548"/>
      <c r="H2209" s="548"/>
      <c r="I2209" s="548"/>
      <c r="J2209" s="548"/>
      <c r="K2209" s="548"/>
      <c r="L2209" s="548"/>
      <c r="M2209" s="548"/>
      <c r="N2209" s="548"/>
      <c r="O2209" s="378">
        <v>91934</v>
      </c>
      <c r="P2209" s="128"/>
      <c r="Q2209" s="248"/>
    </row>
    <row r="2210" spans="1:17" ht="14.25">
      <c r="A2210" s="190"/>
      <c r="C2210" s="193"/>
      <c r="E2210" s="193"/>
      <c r="G2210" s="193"/>
      <c r="O2210" s="388"/>
      <c r="P2210" s="128"/>
    </row>
    <row r="2211" spans="1:17" ht="14.25">
      <c r="A2211" s="190"/>
      <c r="C2211" s="193" t="s">
        <v>75</v>
      </c>
      <c r="E2211" s="193"/>
      <c r="G2211" s="193"/>
      <c r="O2211" s="388"/>
      <c r="P2211" s="128"/>
    </row>
    <row r="2212" spans="1:17" ht="15" customHeight="1">
      <c r="A2212" s="190"/>
      <c r="B2212" s="191" t="s">
        <v>92</v>
      </c>
      <c r="C2212" s="274">
        <f>30.04*4+27.94</f>
        <v>148.1</v>
      </c>
      <c r="D2212" s="191" t="s">
        <v>50</v>
      </c>
      <c r="E2212" s="193"/>
      <c r="G2212" s="193"/>
      <c r="O2212" s="388"/>
      <c r="P2212" s="128"/>
    </row>
    <row r="2213" spans="1:17" ht="14.25">
      <c r="A2213" s="190"/>
      <c r="C2213" s="193"/>
      <c r="E2213" s="193"/>
      <c r="G2213" s="193"/>
      <c r="O2213" s="388"/>
      <c r="P2213" s="128"/>
    </row>
    <row r="2214" spans="1:17">
      <c r="A2214" s="247" t="s">
        <v>794</v>
      </c>
      <c r="B2214" s="548" t="s">
        <v>795</v>
      </c>
      <c r="C2214" s="548"/>
      <c r="D2214" s="548"/>
      <c r="E2214" s="548"/>
      <c r="F2214" s="548"/>
      <c r="G2214" s="548"/>
      <c r="H2214" s="548"/>
      <c r="I2214" s="548"/>
      <c r="J2214" s="548"/>
      <c r="K2214" s="548"/>
      <c r="L2214" s="548"/>
      <c r="M2214" s="548"/>
      <c r="N2214" s="548"/>
      <c r="O2214" s="378">
        <v>92984</v>
      </c>
      <c r="P2214" s="128"/>
      <c r="Q2214" s="248"/>
    </row>
    <row r="2215" spans="1:17" ht="14.25">
      <c r="A2215" s="190"/>
      <c r="C2215" s="193"/>
      <c r="E2215" s="193"/>
      <c r="G2215" s="193"/>
      <c r="O2215" s="388"/>
      <c r="P2215" s="128"/>
    </row>
    <row r="2216" spans="1:17" ht="14.25">
      <c r="A2216" s="190"/>
      <c r="C2216" s="193" t="s">
        <v>75</v>
      </c>
      <c r="E2216" s="193"/>
      <c r="G2216" s="193"/>
      <c r="O2216" s="388"/>
      <c r="P2216" s="128"/>
    </row>
    <row r="2217" spans="1:17" ht="15" customHeight="1">
      <c r="A2217" s="190"/>
      <c r="B2217" s="191" t="s">
        <v>92</v>
      </c>
      <c r="C2217" s="274">
        <v>6.87</v>
      </c>
      <c r="D2217" s="191" t="s">
        <v>50</v>
      </c>
      <c r="E2217" s="193"/>
      <c r="G2217" s="193"/>
      <c r="O2217" s="388"/>
      <c r="P2217" s="128"/>
    </row>
    <row r="2218" spans="1:17" ht="14.25">
      <c r="A2218" s="190"/>
      <c r="C2218" s="193"/>
      <c r="E2218" s="193"/>
      <c r="G2218" s="193"/>
      <c r="O2218" s="388"/>
      <c r="P2218" s="128"/>
    </row>
    <row r="2219" spans="1:17">
      <c r="A2219" s="247" t="s">
        <v>1373</v>
      </c>
      <c r="B2219" s="548" t="s">
        <v>796</v>
      </c>
      <c r="C2219" s="548"/>
      <c r="D2219" s="548"/>
      <c r="E2219" s="548"/>
      <c r="F2219" s="548"/>
      <c r="G2219" s="548"/>
      <c r="H2219" s="548"/>
      <c r="I2219" s="548"/>
      <c r="J2219" s="548"/>
      <c r="K2219" s="548"/>
      <c r="L2219" s="548"/>
      <c r="M2219" s="548"/>
      <c r="N2219" s="548"/>
      <c r="O2219" s="378">
        <v>92986</v>
      </c>
      <c r="P2219" s="128"/>
      <c r="Q2219" s="248"/>
    </row>
    <row r="2220" spans="1:17" ht="14.25">
      <c r="A2220" s="190"/>
      <c r="C2220" s="193"/>
      <c r="E2220" s="193"/>
      <c r="G2220" s="193"/>
      <c r="O2220" s="388"/>
      <c r="P2220" s="128"/>
    </row>
    <row r="2221" spans="1:17" ht="14.25">
      <c r="A2221" s="190"/>
      <c r="C2221" s="193" t="s">
        <v>75</v>
      </c>
      <c r="E2221" s="193"/>
      <c r="G2221" s="193"/>
      <c r="O2221" s="388"/>
      <c r="P2221" s="128"/>
    </row>
    <row r="2222" spans="1:17" ht="15" customHeight="1">
      <c r="A2222" s="190"/>
      <c r="B2222" s="191" t="s">
        <v>92</v>
      </c>
      <c r="C2222" s="274">
        <f>13.95*4</f>
        <v>55.8</v>
      </c>
      <c r="D2222" s="191" t="s">
        <v>50</v>
      </c>
      <c r="E2222" s="193"/>
      <c r="G2222" s="193"/>
      <c r="O2222" s="388"/>
      <c r="P2222" s="128"/>
    </row>
    <row r="2223" spans="1:17" ht="14.25">
      <c r="A2223" s="190"/>
      <c r="C2223" s="193"/>
      <c r="E2223" s="193"/>
      <c r="G2223" s="193"/>
      <c r="O2223" s="388"/>
      <c r="P2223" s="128"/>
    </row>
    <row r="2224" spans="1:17">
      <c r="A2224" s="247" t="s">
        <v>1374</v>
      </c>
      <c r="B2224" s="548" t="s">
        <v>1315</v>
      </c>
      <c r="C2224" s="548"/>
      <c r="D2224" s="548"/>
      <c r="E2224" s="548"/>
      <c r="F2224" s="548"/>
      <c r="G2224" s="548"/>
      <c r="H2224" s="548"/>
      <c r="I2224" s="548"/>
      <c r="J2224" s="548"/>
      <c r="K2224" s="548"/>
      <c r="L2224" s="548"/>
      <c r="M2224" s="548"/>
      <c r="N2224" s="548"/>
      <c r="O2224" s="378">
        <v>92988</v>
      </c>
      <c r="P2224" s="128"/>
      <c r="Q2224" s="248"/>
    </row>
    <row r="2225" spans="1:18" ht="14.25">
      <c r="A2225" s="190"/>
      <c r="C2225" s="193"/>
      <c r="E2225" s="193"/>
      <c r="G2225" s="193"/>
      <c r="O2225" s="388"/>
      <c r="P2225" s="128"/>
    </row>
    <row r="2226" spans="1:18" ht="14.25">
      <c r="A2226" s="190"/>
      <c r="C2226" s="193" t="s">
        <v>75</v>
      </c>
      <c r="E2226" s="193"/>
      <c r="G2226" s="193"/>
      <c r="O2226" s="388"/>
      <c r="P2226" s="128"/>
    </row>
    <row r="2227" spans="1:18" ht="15" customHeight="1">
      <c r="A2227" s="190"/>
      <c r="B2227" s="191" t="s">
        <v>92</v>
      </c>
      <c r="C2227" s="274">
        <f>8.82*4</f>
        <v>35.28</v>
      </c>
      <c r="D2227" s="191" t="s">
        <v>50</v>
      </c>
      <c r="E2227" s="193"/>
      <c r="G2227" s="193"/>
      <c r="O2227" s="388"/>
      <c r="P2227" s="128"/>
    </row>
    <row r="2228" spans="1:18" ht="14.25">
      <c r="A2228" s="190"/>
      <c r="C2228" s="193"/>
      <c r="E2228" s="193"/>
      <c r="G2228" s="193"/>
      <c r="O2228" s="388"/>
      <c r="P2228" s="128"/>
    </row>
    <row r="2229" spans="1:18">
      <c r="A2229" s="247" t="s">
        <v>1375</v>
      </c>
      <c r="B2229" s="548" t="s">
        <v>1317</v>
      </c>
      <c r="C2229" s="548"/>
      <c r="D2229" s="548"/>
      <c r="E2229" s="548"/>
      <c r="F2229" s="548"/>
      <c r="G2229" s="548"/>
      <c r="H2229" s="548"/>
      <c r="I2229" s="548"/>
      <c r="J2229" s="548"/>
      <c r="K2229" s="548"/>
      <c r="L2229" s="548"/>
      <c r="M2229" s="548"/>
      <c r="N2229" s="548"/>
      <c r="O2229" s="378">
        <v>92994</v>
      </c>
      <c r="P2229" s="128"/>
      <c r="Q2229" s="248"/>
    </row>
    <row r="2230" spans="1:18" ht="14.25">
      <c r="A2230" s="190"/>
      <c r="C2230" s="193"/>
      <c r="E2230" s="193"/>
      <c r="G2230" s="193"/>
      <c r="O2230" s="388"/>
      <c r="P2230" s="128"/>
    </row>
    <row r="2231" spans="1:18" ht="14.25">
      <c r="A2231" s="190"/>
      <c r="C2231" s="193" t="s">
        <v>75</v>
      </c>
      <c r="E2231" s="193"/>
      <c r="G2231" s="193"/>
      <c r="O2231" s="388"/>
      <c r="P2231" s="128"/>
    </row>
    <row r="2232" spans="1:18" ht="15" customHeight="1">
      <c r="A2232" s="190"/>
      <c r="B2232" s="191" t="s">
        <v>92</v>
      </c>
      <c r="C2232" s="274">
        <v>35.549999999999997</v>
      </c>
      <c r="D2232" s="191" t="s">
        <v>50</v>
      </c>
      <c r="E2232" s="193"/>
      <c r="G2232" s="193"/>
      <c r="O2232" s="388"/>
      <c r="P2232" s="128"/>
    </row>
    <row r="2233" spans="1:18" ht="14.25">
      <c r="A2233" s="190"/>
      <c r="C2233" s="193"/>
      <c r="E2233" s="193"/>
      <c r="G2233" s="193"/>
      <c r="O2233" s="388"/>
      <c r="P2233" s="128"/>
    </row>
    <row r="2234" spans="1:18">
      <c r="A2234" s="247" t="s">
        <v>1376</v>
      </c>
      <c r="B2234" s="548" t="s">
        <v>1318</v>
      </c>
      <c r="C2234" s="548"/>
      <c r="D2234" s="548"/>
      <c r="E2234" s="548"/>
      <c r="F2234" s="548"/>
      <c r="G2234" s="548"/>
      <c r="H2234" s="548"/>
      <c r="I2234" s="548"/>
      <c r="J2234" s="548"/>
      <c r="K2234" s="548"/>
      <c r="L2234" s="548"/>
      <c r="M2234" s="548"/>
      <c r="N2234" s="548"/>
      <c r="O2234" s="378">
        <v>93000</v>
      </c>
      <c r="P2234" s="128"/>
      <c r="Q2234" s="248"/>
    </row>
    <row r="2235" spans="1:18" ht="14.25">
      <c r="A2235" s="190"/>
      <c r="C2235" s="193"/>
      <c r="E2235" s="193"/>
      <c r="G2235" s="193"/>
      <c r="O2235" s="388"/>
      <c r="P2235" s="128"/>
    </row>
    <row r="2236" spans="1:18" ht="14.25">
      <c r="A2236" s="190"/>
      <c r="C2236" s="193" t="s">
        <v>75</v>
      </c>
      <c r="E2236" s="193"/>
      <c r="G2236" s="193"/>
      <c r="O2236" s="388"/>
      <c r="P2236" s="128"/>
    </row>
    <row r="2237" spans="1:18" ht="15" customHeight="1">
      <c r="A2237" s="190"/>
      <c r="B2237" s="191" t="s">
        <v>92</v>
      </c>
      <c r="C2237" s="274">
        <v>178.06</v>
      </c>
      <c r="D2237" s="191" t="s">
        <v>50</v>
      </c>
      <c r="E2237" s="193"/>
      <c r="G2237" s="193"/>
      <c r="O2237" s="388"/>
      <c r="P2237" s="128"/>
    </row>
    <row r="2238" spans="1:18" ht="14.25">
      <c r="A2238" s="190"/>
      <c r="C2238" s="193"/>
      <c r="E2238" s="193"/>
      <c r="G2238" s="193"/>
      <c r="O2238" s="388"/>
      <c r="P2238" s="128"/>
    </row>
    <row r="2239" spans="1:18">
      <c r="A2239" s="205" t="s">
        <v>797</v>
      </c>
      <c r="B2239" s="549" t="s">
        <v>798</v>
      </c>
      <c r="C2239" s="549"/>
      <c r="D2239" s="549"/>
      <c r="E2239" s="549"/>
      <c r="F2239" s="549"/>
      <c r="G2239" s="549"/>
      <c r="H2239" s="549"/>
      <c r="I2239" s="549"/>
      <c r="J2239" s="549"/>
      <c r="K2239" s="549"/>
      <c r="L2239" s="549"/>
      <c r="M2239" s="549"/>
      <c r="N2239" s="549"/>
      <c r="O2239" s="341"/>
      <c r="P2239" s="389"/>
      <c r="Q2239" s="175"/>
      <c r="R2239" s="175"/>
    </row>
    <row r="2240" spans="1:18" ht="14.25">
      <c r="A2240" s="190"/>
      <c r="C2240" s="193"/>
      <c r="E2240" s="193"/>
      <c r="G2240" s="193"/>
      <c r="O2240" s="128"/>
    </row>
    <row r="2241" spans="1:33" ht="14.25" customHeight="1">
      <c r="A2241" s="245" t="s">
        <v>799</v>
      </c>
      <c r="B2241" s="544" t="s">
        <v>800</v>
      </c>
      <c r="C2241" s="550"/>
      <c r="D2241" s="550"/>
      <c r="E2241" s="550"/>
      <c r="F2241" s="550"/>
      <c r="G2241" s="550"/>
      <c r="H2241" s="550"/>
      <c r="I2241" s="550"/>
      <c r="J2241" s="550"/>
      <c r="K2241" s="550"/>
      <c r="L2241" s="550"/>
      <c r="M2241" s="550"/>
      <c r="N2241" s="550"/>
      <c r="O2241" s="252">
        <v>91992</v>
      </c>
      <c r="P2241" s="128"/>
      <c r="T2241" s="129"/>
      <c r="U2241" s="129"/>
      <c r="V2241" s="129"/>
      <c r="W2241" s="129"/>
      <c r="X2241" s="129"/>
      <c r="Y2241" s="129"/>
      <c r="Z2241" s="129"/>
      <c r="AA2241" s="129"/>
      <c r="AB2241" s="129"/>
      <c r="AC2241" s="129"/>
      <c r="AD2241" s="129"/>
      <c r="AE2241" s="129"/>
      <c r="AF2241" s="129"/>
      <c r="AG2241" s="129"/>
    </row>
    <row r="2242" spans="1:33" ht="14.25" customHeight="1">
      <c r="A2242" s="195"/>
      <c r="B2242" s="263"/>
      <c r="C2242" s="196"/>
      <c r="D2242" s="196"/>
      <c r="E2242" s="196"/>
      <c r="F2242" s="196"/>
      <c r="G2242" s="196"/>
      <c r="H2242" s="196"/>
      <c r="I2242" s="196"/>
      <c r="J2242" s="196"/>
      <c r="K2242" s="196"/>
      <c r="L2242" s="196"/>
      <c r="M2242" s="196"/>
      <c r="N2242" s="196"/>
      <c r="O2242" s="252"/>
      <c r="P2242" s="350"/>
    </row>
    <row r="2243" spans="1:33" ht="14.25" customHeight="1">
      <c r="A2243" s="190"/>
      <c r="C2243" s="193" t="s">
        <v>87</v>
      </c>
      <c r="E2243" s="193"/>
      <c r="G2243" s="193"/>
      <c r="O2243" s="339"/>
    </row>
    <row r="2244" spans="1:33" ht="14.25" customHeight="1">
      <c r="A2244" s="190"/>
      <c r="B2244" s="191" t="s">
        <v>92</v>
      </c>
      <c r="C2244" s="192">
        <f>29+13</f>
        <v>42</v>
      </c>
      <c r="D2244" s="191" t="s">
        <v>82</v>
      </c>
      <c r="E2244" s="193"/>
      <c r="F2244" s="193"/>
      <c r="G2244" s="193"/>
      <c r="I2244" s="193"/>
      <c r="K2244" s="193"/>
      <c r="O2244" s="339"/>
    </row>
    <row r="2245" spans="1:33" ht="14.25" customHeight="1">
      <c r="A2245" s="190"/>
      <c r="C2245" s="193"/>
      <c r="E2245" s="193"/>
      <c r="O2245" s="339"/>
    </row>
    <row r="2246" spans="1:33" ht="14.25" customHeight="1">
      <c r="A2246" s="245" t="s">
        <v>801</v>
      </c>
      <c r="B2246" s="544" t="s">
        <v>802</v>
      </c>
      <c r="C2246" s="550"/>
      <c r="D2246" s="550"/>
      <c r="E2246" s="550"/>
      <c r="F2246" s="550"/>
      <c r="G2246" s="550"/>
      <c r="H2246" s="550"/>
      <c r="I2246" s="550"/>
      <c r="J2246" s="550"/>
      <c r="K2246" s="550"/>
      <c r="L2246" s="550"/>
      <c r="M2246" s="550"/>
      <c r="N2246" s="550"/>
      <c r="O2246" s="252">
        <v>91996</v>
      </c>
      <c r="P2246" s="350"/>
    </row>
    <row r="2247" spans="1:33" ht="14.25" customHeight="1">
      <c r="A2247" s="190"/>
      <c r="C2247" s="193"/>
      <c r="E2247" s="193"/>
      <c r="G2247" s="193"/>
      <c r="O2247" s="339"/>
    </row>
    <row r="2248" spans="1:33" ht="14.25" customHeight="1">
      <c r="A2248" s="190"/>
      <c r="C2248" s="193" t="s">
        <v>87</v>
      </c>
      <c r="E2248" s="193"/>
      <c r="G2248" s="193"/>
      <c r="O2248" s="339"/>
    </row>
    <row r="2249" spans="1:33" ht="14.25" customHeight="1">
      <c r="A2249" s="190"/>
      <c r="B2249" s="191" t="s">
        <v>92</v>
      </c>
      <c r="C2249" s="192">
        <f>25</f>
        <v>25</v>
      </c>
      <c r="D2249" s="191" t="s">
        <v>82</v>
      </c>
      <c r="E2249" s="193"/>
      <c r="G2249" s="193"/>
      <c r="O2249" s="339"/>
    </row>
    <row r="2250" spans="1:33" ht="14.25" customHeight="1">
      <c r="A2250" s="190"/>
      <c r="C2250" s="193"/>
      <c r="E2250" s="193"/>
      <c r="G2250" s="193"/>
      <c r="O2250" s="339"/>
    </row>
    <row r="2251" spans="1:33" ht="14.25" customHeight="1">
      <c r="A2251" s="245" t="s">
        <v>803</v>
      </c>
      <c r="B2251" s="544" t="s">
        <v>804</v>
      </c>
      <c r="C2251" s="550"/>
      <c r="D2251" s="550"/>
      <c r="E2251" s="550"/>
      <c r="F2251" s="550"/>
      <c r="G2251" s="550"/>
      <c r="H2251" s="550"/>
      <c r="I2251" s="550"/>
      <c r="J2251" s="550"/>
      <c r="K2251" s="550"/>
      <c r="L2251" s="550"/>
      <c r="M2251" s="550"/>
      <c r="N2251" s="550"/>
      <c r="O2251" s="252">
        <v>92000</v>
      </c>
      <c r="P2251" s="350"/>
    </row>
    <row r="2252" spans="1:33" ht="14.25" customHeight="1">
      <c r="A2252" s="190"/>
      <c r="C2252" s="193"/>
      <c r="E2252" s="193"/>
      <c r="G2252" s="193"/>
      <c r="O2252" s="339"/>
    </row>
    <row r="2253" spans="1:33" ht="14.25" customHeight="1">
      <c r="A2253" s="190"/>
      <c r="C2253" s="193" t="s">
        <v>87</v>
      </c>
      <c r="E2253" s="193"/>
      <c r="G2253" s="193"/>
      <c r="O2253" s="339"/>
    </row>
    <row r="2254" spans="1:33" ht="14.25" customHeight="1">
      <c r="A2254" s="190"/>
      <c r="B2254" s="191" t="s">
        <v>92</v>
      </c>
      <c r="C2254" s="192">
        <v>2</v>
      </c>
      <c r="D2254" s="191" t="s">
        <v>82</v>
      </c>
      <c r="E2254" s="193"/>
      <c r="G2254" s="193"/>
      <c r="O2254" s="339"/>
    </row>
    <row r="2255" spans="1:33" ht="14.25" customHeight="1">
      <c r="A2255" s="190"/>
      <c r="C2255" s="193"/>
      <c r="E2255" s="193"/>
      <c r="G2255" s="193"/>
      <c r="O2255" s="339"/>
    </row>
    <row r="2256" spans="1:33" ht="14.25" customHeight="1">
      <c r="A2256" s="245" t="s">
        <v>805</v>
      </c>
      <c r="B2256" s="553" t="s">
        <v>806</v>
      </c>
      <c r="C2256" s="550"/>
      <c r="D2256" s="550"/>
      <c r="E2256" s="550"/>
      <c r="F2256" s="550"/>
      <c r="G2256" s="550"/>
      <c r="H2256" s="550"/>
      <c r="I2256" s="550"/>
      <c r="J2256" s="550"/>
      <c r="K2256" s="550"/>
      <c r="L2256" s="550"/>
      <c r="M2256" s="550"/>
      <c r="N2256" s="550"/>
      <c r="O2256" s="252">
        <v>91993</v>
      </c>
      <c r="P2256" s="350"/>
    </row>
    <row r="2257" spans="1:16" ht="14.25" customHeight="1">
      <c r="A2257" s="190"/>
      <c r="C2257" s="193"/>
      <c r="E2257" s="193"/>
      <c r="G2257" s="193"/>
      <c r="O2257" s="339"/>
    </row>
    <row r="2258" spans="1:16" ht="14.25" customHeight="1">
      <c r="A2258" s="190"/>
      <c r="C2258" s="193" t="s">
        <v>87</v>
      </c>
      <c r="E2258" s="193"/>
      <c r="G2258" s="193"/>
      <c r="O2258" s="339"/>
    </row>
    <row r="2259" spans="1:16" ht="14.25" customHeight="1">
      <c r="A2259" s="190"/>
      <c r="B2259" s="191" t="s">
        <v>92</v>
      </c>
      <c r="C2259" s="192">
        <v>21</v>
      </c>
      <c r="D2259" s="191" t="s">
        <v>82</v>
      </c>
      <c r="E2259" s="193"/>
      <c r="G2259" s="193"/>
      <c r="O2259" s="339"/>
    </row>
    <row r="2260" spans="1:16" ht="14.25" customHeight="1">
      <c r="A2260" s="190"/>
      <c r="B2260" s="191"/>
      <c r="C2260" s="192"/>
      <c r="D2260" s="191"/>
      <c r="E2260" s="193"/>
      <c r="G2260" s="193"/>
      <c r="O2260" s="339"/>
    </row>
    <row r="2261" spans="1:16" ht="14.25" customHeight="1">
      <c r="A2261" s="245" t="s">
        <v>807</v>
      </c>
      <c r="B2261" s="553" t="s">
        <v>808</v>
      </c>
      <c r="C2261" s="550"/>
      <c r="D2261" s="550"/>
      <c r="E2261" s="550"/>
      <c r="F2261" s="550"/>
      <c r="G2261" s="550"/>
      <c r="H2261" s="550"/>
      <c r="I2261" s="550"/>
      <c r="J2261" s="550"/>
      <c r="K2261" s="550"/>
      <c r="L2261" s="550"/>
      <c r="M2261" s="550"/>
      <c r="N2261" s="550"/>
      <c r="O2261" s="252">
        <v>91997</v>
      </c>
      <c r="P2261" s="350"/>
    </row>
    <row r="2262" spans="1:16" ht="14.25" customHeight="1">
      <c r="A2262" s="190"/>
      <c r="C2262" s="193"/>
      <c r="E2262" s="193"/>
      <c r="G2262" s="193"/>
      <c r="O2262" s="339"/>
    </row>
    <row r="2263" spans="1:16" ht="14.25" customHeight="1">
      <c r="A2263" s="190"/>
      <c r="C2263" s="193" t="s">
        <v>87</v>
      </c>
      <c r="E2263" s="193"/>
      <c r="G2263" s="193"/>
      <c r="O2263" s="339"/>
    </row>
    <row r="2264" spans="1:16" ht="14.25" customHeight="1">
      <c r="A2264" s="190"/>
      <c r="B2264" s="191" t="s">
        <v>92</v>
      </c>
      <c r="C2264" s="192">
        <v>2</v>
      </c>
      <c r="D2264" s="191" t="s">
        <v>82</v>
      </c>
      <c r="E2264" s="193"/>
      <c r="G2264" s="193"/>
      <c r="O2264" s="339"/>
    </row>
    <row r="2265" spans="1:16" ht="14.25" customHeight="1">
      <c r="A2265" s="190"/>
      <c r="C2265" s="193"/>
      <c r="E2265" s="193"/>
      <c r="G2265" s="193"/>
      <c r="O2265" s="339"/>
    </row>
    <row r="2266" spans="1:16" ht="14.25" customHeight="1">
      <c r="A2266" s="245" t="s">
        <v>809</v>
      </c>
      <c r="B2266" s="544" t="s">
        <v>810</v>
      </c>
      <c r="C2266" s="550"/>
      <c r="D2266" s="550"/>
      <c r="E2266" s="550"/>
      <c r="F2266" s="550"/>
      <c r="G2266" s="550"/>
      <c r="H2266" s="550"/>
      <c r="I2266" s="550"/>
      <c r="J2266" s="550"/>
      <c r="K2266" s="550"/>
      <c r="L2266" s="550"/>
      <c r="M2266" s="550"/>
      <c r="N2266" s="550"/>
      <c r="O2266" s="252">
        <v>92004</v>
      </c>
      <c r="P2266" s="350"/>
    </row>
    <row r="2267" spans="1:16" ht="14.25" customHeight="1">
      <c r="A2267" s="190"/>
      <c r="C2267" s="193"/>
      <c r="E2267" s="193"/>
      <c r="G2267" s="193"/>
      <c r="O2267" s="339"/>
    </row>
    <row r="2268" spans="1:16" ht="14.25" customHeight="1">
      <c r="A2268" s="190"/>
      <c r="C2268" s="193" t="s">
        <v>87</v>
      </c>
      <c r="E2268" s="193"/>
      <c r="G2268" s="193"/>
      <c r="O2268" s="339"/>
    </row>
    <row r="2269" spans="1:16" ht="14.25" customHeight="1">
      <c r="A2269" s="190"/>
      <c r="B2269" s="191" t="s">
        <v>92</v>
      </c>
      <c r="C2269" s="192">
        <v>13</v>
      </c>
      <c r="D2269" s="191" t="s">
        <v>82</v>
      </c>
      <c r="E2269" s="193"/>
      <c r="G2269" s="193"/>
      <c r="O2269" s="339"/>
    </row>
    <row r="2270" spans="1:16" ht="14.25" customHeight="1">
      <c r="A2270" s="190"/>
      <c r="C2270" s="193"/>
      <c r="E2270" s="193"/>
      <c r="G2270" s="193"/>
      <c r="O2270" s="339"/>
    </row>
    <row r="2271" spans="1:16" ht="14.25" customHeight="1">
      <c r="A2271" s="245" t="s">
        <v>811</v>
      </c>
      <c r="B2271" s="544" t="s">
        <v>812</v>
      </c>
      <c r="C2271" s="550"/>
      <c r="D2271" s="550"/>
      <c r="E2271" s="550"/>
      <c r="F2271" s="550"/>
      <c r="G2271" s="550"/>
      <c r="H2271" s="550"/>
      <c r="I2271" s="550"/>
      <c r="J2271" s="550"/>
      <c r="K2271" s="550"/>
      <c r="L2271" s="550"/>
      <c r="M2271" s="550"/>
      <c r="N2271" s="550"/>
      <c r="O2271" s="252">
        <v>92008</v>
      </c>
      <c r="P2271" s="350"/>
    </row>
    <row r="2272" spans="1:16" ht="14.25" customHeight="1">
      <c r="A2272" s="190"/>
      <c r="C2272" s="193"/>
      <c r="E2272" s="193"/>
      <c r="G2272" s="193"/>
      <c r="O2272" s="339"/>
    </row>
    <row r="2273" spans="1:16" ht="14.25" customHeight="1">
      <c r="A2273" s="190"/>
      <c r="C2273" s="193" t="s">
        <v>87</v>
      </c>
      <c r="E2273" s="193"/>
      <c r="G2273" s="193"/>
      <c r="O2273" s="339"/>
    </row>
    <row r="2274" spans="1:16" ht="14.25" customHeight="1">
      <c r="A2274" s="190"/>
      <c r="B2274" s="191" t="s">
        <v>92</v>
      </c>
      <c r="C2274" s="192">
        <f>1+9</f>
        <v>10</v>
      </c>
      <c r="D2274" s="191" t="s">
        <v>82</v>
      </c>
      <c r="E2274" s="193"/>
      <c r="G2274" s="193"/>
      <c r="O2274" s="339"/>
    </row>
    <row r="2275" spans="1:16" ht="14.25" customHeight="1">
      <c r="A2275" s="190"/>
      <c r="C2275" s="193"/>
      <c r="E2275" s="193"/>
      <c r="G2275" s="193"/>
      <c r="O2275" s="339"/>
    </row>
    <row r="2276" spans="1:16" ht="14.25" customHeight="1">
      <c r="A2276" s="245" t="s">
        <v>813</v>
      </c>
      <c r="B2276" s="544" t="s">
        <v>814</v>
      </c>
      <c r="C2276" s="550"/>
      <c r="D2276" s="550"/>
      <c r="E2276" s="550"/>
      <c r="F2276" s="550"/>
      <c r="G2276" s="550"/>
      <c r="H2276" s="550"/>
      <c r="I2276" s="550"/>
      <c r="J2276" s="550"/>
      <c r="K2276" s="550"/>
      <c r="L2276" s="550"/>
      <c r="M2276" s="550"/>
      <c r="N2276" s="550"/>
      <c r="O2276" s="252">
        <v>92023</v>
      </c>
      <c r="P2276" s="350"/>
    </row>
    <row r="2277" spans="1:16" ht="14.25" customHeight="1">
      <c r="A2277" s="190"/>
      <c r="C2277" s="193"/>
      <c r="E2277" s="193"/>
      <c r="G2277" s="193"/>
      <c r="O2277" s="339"/>
    </row>
    <row r="2278" spans="1:16" ht="14.25" customHeight="1">
      <c r="A2278" s="190"/>
      <c r="C2278" s="193" t="s">
        <v>87</v>
      </c>
      <c r="E2278" s="193"/>
      <c r="G2278" s="193"/>
      <c r="O2278" s="339"/>
    </row>
    <row r="2279" spans="1:16" ht="14.25" customHeight="1">
      <c r="A2279" s="190"/>
      <c r="B2279" s="191" t="s">
        <v>92</v>
      </c>
      <c r="C2279" s="192">
        <v>7</v>
      </c>
      <c r="D2279" s="191" t="s">
        <v>82</v>
      </c>
      <c r="E2279" s="193"/>
      <c r="G2279" s="193"/>
      <c r="O2279" s="339"/>
    </row>
    <row r="2280" spans="1:16" ht="14.25" customHeight="1">
      <c r="A2280" s="190"/>
      <c r="C2280" s="193"/>
      <c r="E2280" s="193"/>
      <c r="G2280" s="193"/>
      <c r="O2280" s="339"/>
    </row>
    <row r="2281" spans="1:16" ht="14.25" customHeight="1">
      <c r="A2281" s="245" t="s">
        <v>815</v>
      </c>
      <c r="B2281" s="544" t="s">
        <v>816</v>
      </c>
      <c r="C2281" s="550"/>
      <c r="D2281" s="550"/>
      <c r="E2281" s="550"/>
      <c r="F2281" s="550"/>
      <c r="G2281" s="550"/>
      <c r="H2281" s="550"/>
      <c r="I2281" s="550"/>
      <c r="J2281" s="550"/>
      <c r="K2281" s="550"/>
      <c r="L2281" s="550"/>
      <c r="M2281" s="550"/>
      <c r="N2281" s="550"/>
      <c r="O2281" s="252">
        <v>92029</v>
      </c>
      <c r="P2281" s="350"/>
    </row>
    <row r="2282" spans="1:16" ht="14.25" customHeight="1">
      <c r="A2282" s="190"/>
      <c r="C2282" s="193"/>
      <c r="E2282" s="193"/>
      <c r="G2282" s="193"/>
      <c r="O2282" s="339"/>
    </row>
    <row r="2283" spans="1:16" ht="14.25" customHeight="1">
      <c r="A2283" s="190"/>
      <c r="C2283" s="193" t="s">
        <v>87</v>
      </c>
      <c r="E2283" s="193"/>
      <c r="G2283" s="193"/>
      <c r="O2283" s="339"/>
    </row>
    <row r="2284" spans="1:16" ht="14.25" customHeight="1">
      <c r="A2284" s="190"/>
      <c r="B2284" s="191" t="s">
        <v>92</v>
      </c>
      <c r="C2284" s="192">
        <v>10</v>
      </c>
      <c r="D2284" s="191" t="s">
        <v>82</v>
      </c>
      <c r="E2284" s="193"/>
      <c r="G2284" s="193"/>
      <c r="O2284" s="339"/>
    </row>
    <row r="2285" spans="1:16" ht="14.25" customHeight="1">
      <c r="A2285" s="190"/>
      <c r="C2285" s="193"/>
      <c r="E2285" s="193"/>
      <c r="G2285" s="193"/>
      <c r="O2285" s="339"/>
    </row>
    <row r="2286" spans="1:16" ht="14.25" customHeight="1">
      <c r="A2286" s="245" t="s">
        <v>817</v>
      </c>
      <c r="B2286" s="544" t="s">
        <v>1377</v>
      </c>
      <c r="C2286" s="550"/>
      <c r="D2286" s="550"/>
      <c r="E2286" s="550"/>
      <c r="F2286" s="550"/>
      <c r="G2286" s="550"/>
      <c r="H2286" s="550"/>
      <c r="I2286" s="550"/>
      <c r="J2286" s="550"/>
      <c r="K2286" s="550"/>
      <c r="L2286" s="550"/>
      <c r="M2286" s="550"/>
      <c r="N2286" s="550"/>
      <c r="O2286" s="252">
        <v>92027</v>
      </c>
      <c r="P2286" s="350"/>
    </row>
    <row r="2287" spans="1:16" ht="14.25" customHeight="1">
      <c r="A2287" s="190"/>
      <c r="C2287" s="193"/>
      <c r="E2287" s="193"/>
      <c r="G2287" s="193"/>
      <c r="O2287" s="339"/>
    </row>
    <row r="2288" spans="1:16" ht="14.25" customHeight="1">
      <c r="A2288" s="190"/>
      <c r="C2288" s="193" t="s">
        <v>87</v>
      </c>
      <c r="E2288" s="193"/>
      <c r="G2288" s="193"/>
      <c r="O2288" s="339"/>
    </row>
    <row r="2289" spans="1:16" ht="14.25" customHeight="1">
      <c r="A2289" s="190"/>
      <c r="B2289" s="191" t="s">
        <v>92</v>
      </c>
      <c r="C2289" s="192">
        <v>7</v>
      </c>
      <c r="D2289" s="191" t="s">
        <v>82</v>
      </c>
      <c r="E2289" s="193"/>
      <c r="G2289" s="193"/>
      <c r="O2289" s="339"/>
    </row>
    <row r="2290" spans="1:16" ht="14.25" customHeight="1">
      <c r="A2290" s="190"/>
      <c r="C2290" s="193"/>
      <c r="E2290" s="193"/>
      <c r="G2290" s="193"/>
      <c r="O2290" s="339"/>
    </row>
    <row r="2291" spans="1:16" ht="14.25" customHeight="1">
      <c r="A2291" s="245" t="s">
        <v>1387</v>
      </c>
      <c r="B2291" s="544" t="s">
        <v>1378</v>
      </c>
      <c r="C2291" s="550"/>
      <c r="D2291" s="550"/>
      <c r="E2291" s="550"/>
      <c r="F2291" s="550"/>
      <c r="G2291" s="550"/>
      <c r="H2291" s="550"/>
      <c r="I2291" s="550"/>
      <c r="J2291" s="550"/>
      <c r="K2291" s="550"/>
      <c r="L2291" s="550"/>
      <c r="M2291" s="550"/>
      <c r="N2291" s="550"/>
      <c r="O2291" s="252">
        <v>97607</v>
      </c>
      <c r="P2291" s="350"/>
    </row>
    <row r="2292" spans="1:16" ht="14.25" customHeight="1">
      <c r="A2292" s="190"/>
      <c r="C2292" s="193"/>
      <c r="E2292" s="193"/>
      <c r="G2292" s="193"/>
      <c r="O2292" s="339"/>
    </row>
    <row r="2293" spans="1:16" ht="14.25" customHeight="1">
      <c r="A2293" s="190"/>
      <c r="C2293" s="193" t="s">
        <v>87</v>
      </c>
      <c r="E2293" s="193"/>
      <c r="G2293" s="193"/>
      <c r="O2293" s="339"/>
    </row>
    <row r="2294" spans="1:16" ht="14.25" customHeight="1">
      <c r="A2294" s="190"/>
      <c r="B2294" s="191" t="s">
        <v>92</v>
      </c>
      <c r="C2294" s="192">
        <f>4</f>
        <v>4</v>
      </c>
      <c r="D2294" s="191" t="s">
        <v>82</v>
      </c>
      <c r="E2294" s="193"/>
      <c r="G2294" s="193"/>
      <c r="O2294" s="339"/>
    </row>
    <row r="2295" spans="1:16" ht="14.25" customHeight="1">
      <c r="A2295" s="190"/>
      <c r="C2295" s="193"/>
      <c r="E2295" s="193"/>
      <c r="G2295" s="193"/>
      <c r="O2295" s="339"/>
    </row>
    <row r="2296" spans="1:16" ht="14.25" customHeight="1">
      <c r="A2296" s="245" t="s">
        <v>1388</v>
      </c>
      <c r="B2296" s="544" t="s">
        <v>1379</v>
      </c>
      <c r="C2296" s="550"/>
      <c r="D2296" s="550"/>
      <c r="E2296" s="550"/>
      <c r="F2296" s="550"/>
      <c r="G2296" s="550"/>
      <c r="H2296" s="550"/>
      <c r="I2296" s="550"/>
      <c r="J2296" s="550"/>
      <c r="K2296" s="550"/>
      <c r="L2296" s="550"/>
      <c r="M2296" s="550"/>
      <c r="N2296" s="550"/>
      <c r="O2296" s="252" t="s">
        <v>1380</v>
      </c>
      <c r="P2296" s="350" t="s">
        <v>1099</v>
      </c>
    </row>
    <row r="2297" spans="1:16" ht="14.25" customHeight="1">
      <c r="A2297" s="190"/>
      <c r="C2297" s="193"/>
      <c r="E2297" s="193"/>
      <c r="G2297" s="193"/>
      <c r="O2297" s="339"/>
    </row>
    <row r="2298" spans="1:16" ht="14.25" customHeight="1">
      <c r="A2298" s="190"/>
      <c r="C2298" s="193" t="s">
        <v>87</v>
      </c>
      <c r="E2298" s="193"/>
      <c r="G2298" s="193"/>
      <c r="O2298" s="339"/>
    </row>
    <row r="2299" spans="1:16" ht="14.25" customHeight="1">
      <c r="A2299" s="190"/>
      <c r="B2299" s="191" t="s">
        <v>92</v>
      </c>
      <c r="C2299" s="192">
        <v>20</v>
      </c>
      <c r="D2299" s="191" t="s">
        <v>82</v>
      </c>
      <c r="E2299" s="193"/>
      <c r="G2299" s="193"/>
      <c r="O2299" s="339"/>
    </row>
    <row r="2300" spans="1:16" ht="14.25" customHeight="1">
      <c r="A2300" s="190"/>
      <c r="C2300" s="193"/>
      <c r="E2300" s="193"/>
      <c r="G2300" s="193"/>
      <c r="O2300" s="339"/>
    </row>
    <row r="2301" spans="1:16" ht="32.25" customHeight="1">
      <c r="A2301" s="245" t="s">
        <v>1389</v>
      </c>
      <c r="B2301" s="544" t="s">
        <v>1381</v>
      </c>
      <c r="C2301" s="550"/>
      <c r="D2301" s="550"/>
      <c r="E2301" s="550"/>
      <c r="F2301" s="550"/>
      <c r="G2301" s="550"/>
      <c r="H2301" s="550"/>
      <c r="I2301" s="550"/>
      <c r="J2301" s="550"/>
      <c r="K2301" s="550"/>
      <c r="L2301" s="550"/>
      <c r="M2301" s="550"/>
      <c r="N2301" s="550"/>
      <c r="O2301" s="252" t="s">
        <v>1382</v>
      </c>
      <c r="P2301" s="350" t="s">
        <v>1099</v>
      </c>
    </row>
    <row r="2302" spans="1:16" ht="14.25" customHeight="1">
      <c r="A2302" s="190"/>
      <c r="C2302" s="193"/>
      <c r="E2302" s="193"/>
      <c r="G2302" s="193"/>
      <c r="O2302" s="339"/>
    </row>
    <row r="2303" spans="1:16" ht="14.25" customHeight="1">
      <c r="A2303" s="190"/>
      <c r="C2303" s="193" t="s">
        <v>87</v>
      </c>
      <c r="E2303" s="193"/>
      <c r="G2303" s="193"/>
      <c r="O2303" s="339"/>
    </row>
    <row r="2304" spans="1:16" ht="14.25" customHeight="1">
      <c r="A2304" s="190"/>
      <c r="B2304" s="191" t="s">
        <v>92</v>
      </c>
      <c r="C2304" s="192">
        <v>29</v>
      </c>
      <c r="D2304" s="191" t="s">
        <v>82</v>
      </c>
      <c r="E2304" s="193"/>
      <c r="G2304" s="193"/>
      <c r="O2304" s="339"/>
    </row>
    <row r="2305" spans="1:33" ht="14.25" customHeight="1">
      <c r="A2305" s="190"/>
      <c r="C2305" s="193"/>
      <c r="E2305" s="193"/>
      <c r="G2305" s="193"/>
      <c r="O2305" s="339"/>
    </row>
    <row r="2306" spans="1:33" ht="32.25" customHeight="1">
      <c r="A2306" s="245" t="s">
        <v>1390</v>
      </c>
      <c r="B2306" s="544" t="s">
        <v>1383</v>
      </c>
      <c r="C2306" s="550"/>
      <c r="D2306" s="550"/>
      <c r="E2306" s="550"/>
      <c r="F2306" s="550"/>
      <c r="G2306" s="550"/>
      <c r="H2306" s="550"/>
      <c r="I2306" s="550"/>
      <c r="J2306" s="550"/>
      <c r="K2306" s="550"/>
      <c r="L2306" s="550"/>
      <c r="M2306" s="550"/>
      <c r="N2306" s="550"/>
      <c r="O2306" s="252">
        <v>103782</v>
      </c>
      <c r="P2306" s="350"/>
    </row>
    <row r="2307" spans="1:33" ht="14.25" customHeight="1">
      <c r="A2307" s="190"/>
      <c r="C2307" s="193"/>
      <c r="E2307" s="193"/>
      <c r="G2307" s="193"/>
      <c r="O2307" s="339"/>
    </row>
    <row r="2308" spans="1:33" ht="14.25" customHeight="1">
      <c r="A2308" s="190"/>
      <c r="C2308" s="193" t="s">
        <v>87</v>
      </c>
      <c r="E2308" s="193"/>
      <c r="G2308" s="193"/>
      <c r="O2308" s="339"/>
    </row>
    <row r="2309" spans="1:33" ht="14.25" customHeight="1">
      <c r="A2309" s="190"/>
      <c r="B2309" s="191" t="s">
        <v>92</v>
      </c>
      <c r="C2309" s="192">
        <v>79</v>
      </c>
      <c r="D2309" s="191" t="s">
        <v>82</v>
      </c>
      <c r="E2309" s="193"/>
      <c r="G2309" s="193"/>
      <c r="O2309" s="339"/>
    </row>
    <row r="2310" spans="1:33" ht="14.25" customHeight="1">
      <c r="A2310" s="190"/>
      <c r="C2310" s="193"/>
      <c r="E2310" s="193"/>
      <c r="G2310" s="193"/>
      <c r="O2310" s="339"/>
    </row>
    <row r="2311" spans="1:33" ht="32.25" customHeight="1">
      <c r="A2311" s="245" t="s">
        <v>1391</v>
      </c>
      <c r="B2311" s="544" t="s">
        <v>1384</v>
      </c>
      <c r="C2311" s="550"/>
      <c r="D2311" s="550"/>
      <c r="E2311" s="550"/>
      <c r="F2311" s="550"/>
      <c r="G2311" s="550"/>
      <c r="H2311" s="550"/>
      <c r="I2311" s="550"/>
      <c r="J2311" s="550"/>
      <c r="K2311" s="550"/>
      <c r="L2311" s="550"/>
      <c r="M2311" s="550"/>
      <c r="N2311" s="550"/>
      <c r="O2311" s="252" t="s">
        <v>1385</v>
      </c>
      <c r="P2311" s="350" t="s">
        <v>1386</v>
      </c>
    </row>
    <row r="2312" spans="1:33" ht="14.25" customHeight="1">
      <c r="A2312" s="190"/>
      <c r="C2312" s="193"/>
      <c r="E2312" s="193"/>
      <c r="G2312" s="193"/>
      <c r="O2312" s="339"/>
    </row>
    <row r="2313" spans="1:33" ht="14.25" customHeight="1">
      <c r="A2313" s="190"/>
      <c r="C2313" s="193" t="s">
        <v>87</v>
      </c>
      <c r="E2313" s="193"/>
      <c r="G2313" s="193"/>
      <c r="O2313" s="339"/>
    </row>
    <row r="2314" spans="1:33" ht="14.25" customHeight="1">
      <c r="A2314" s="190"/>
      <c r="B2314" s="191" t="s">
        <v>92</v>
      </c>
      <c r="C2314" s="192">
        <v>8</v>
      </c>
      <c r="D2314" s="191" t="s">
        <v>82</v>
      </c>
      <c r="E2314" s="193"/>
      <c r="G2314" s="193"/>
      <c r="O2314" s="339"/>
    </row>
    <row r="2315" spans="1:33" ht="14.25">
      <c r="A2315" s="190"/>
      <c r="C2315" s="193"/>
      <c r="E2315" s="193"/>
      <c r="G2315" s="193"/>
      <c r="O2315" s="128"/>
      <c r="P2315" s="388"/>
    </row>
    <row r="2316" spans="1:33" ht="14.25" customHeight="1">
      <c r="A2316" s="188" t="s">
        <v>185</v>
      </c>
      <c r="B2316" s="551" t="s">
        <v>188</v>
      </c>
      <c r="C2316" s="552"/>
      <c r="D2316" s="552"/>
      <c r="E2316" s="552"/>
      <c r="F2316" s="552"/>
      <c r="G2316" s="552"/>
      <c r="H2316" s="552"/>
      <c r="I2316" s="552"/>
      <c r="J2316" s="552"/>
      <c r="K2316" s="552"/>
      <c r="L2316" s="552"/>
      <c r="M2316" s="552"/>
      <c r="N2316" s="552"/>
      <c r="O2316" s="337"/>
      <c r="P2316" s="338"/>
      <c r="Q2316" s="359"/>
      <c r="R2316" s="119"/>
      <c r="S2316" s="119"/>
      <c r="T2316" s="119"/>
      <c r="U2316" s="119"/>
      <c r="V2316" s="119"/>
      <c r="W2316" s="119"/>
      <c r="X2316" s="119"/>
      <c r="Y2316" s="119"/>
      <c r="Z2316" s="119"/>
      <c r="AA2316" s="119"/>
      <c r="AB2316" s="119"/>
      <c r="AC2316" s="119"/>
      <c r="AD2316" s="119"/>
      <c r="AE2316" s="119"/>
      <c r="AF2316" s="119"/>
      <c r="AG2316" s="119"/>
    </row>
    <row r="2317" spans="1:33" ht="14.25" customHeight="1">
      <c r="A2317" s="188" t="s">
        <v>906</v>
      </c>
      <c r="B2317" s="551" t="s">
        <v>818</v>
      </c>
      <c r="C2317" s="552"/>
      <c r="D2317" s="552"/>
      <c r="E2317" s="552"/>
      <c r="F2317" s="552"/>
      <c r="G2317" s="552"/>
      <c r="H2317" s="552"/>
      <c r="I2317" s="552"/>
      <c r="J2317" s="552"/>
      <c r="K2317" s="552"/>
      <c r="L2317" s="552"/>
      <c r="M2317" s="552"/>
      <c r="N2317" s="552"/>
      <c r="O2317" s="337"/>
      <c r="P2317" s="338"/>
    </row>
    <row r="2318" spans="1:33" ht="14.25" customHeight="1">
      <c r="A2318" s="190"/>
      <c r="C2318" s="193"/>
      <c r="E2318" s="193"/>
      <c r="G2318" s="193"/>
      <c r="O2318" s="339"/>
    </row>
    <row r="2319" spans="1:33" ht="14.25" customHeight="1">
      <c r="A2319" s="245" t="s">
        <v>819</v>
      </c>
      <c r="B2319" s="544" t="s">
        <v>956</v>
      </c>
      <c r="C2319" s="544"/>
      <c r="D2319" s="544"/>
      <c r="E2319" s="544"/>
      <c r="F2319" s="544"/>
      <c r="G2319" s="544"/>
      <c r="H2319" s="544"/>
      <c r="I2319" s="544"/>
      <c r="J2319" s="544"/>
      <c r="K2319" s="544"/>
      <c r="L2319" s="544"/>
      <c r="M2319" s="544"/>
      <c r="N2319" s="544"/>
      <c r="O2319" s="252">
        <v>98305</v>
      </c>
      <c r="P2319" s="350"/>
    </row>
    <row r="2320" spans="1:33" ht="14.25" customHeight="1">
      <c r="A2320" s="195"/>
      <c r="B2320" s="263"/>
      <c r="C2320" s="196"/>
      <c r="D2320" s="196"/>
      <c r="E2320" s="196"/>
      <c r="F2320" s="196"/>
      <c r="G2320" s="196"/>
      <c r="H2320" s="196"/>
      <c r="I2320" s="196"/>
      <c r="J2320" s="196"/>
      <c r="K2320" s="196"/>
      <c r="L2320" s="196"/>
      <c r="M2320" s="196"/>
      <c r="N2320" s="196"/>
      <c r="O2320" s="252"/>
      <c r="P2320" s="350"/>
    </row>
    <row r="2321" spans="1:17" ht="14.25" customHeight="1">
      <c r="A2321" s="190"/>
      <c r="C2321" s="193" t="s">
        <v>87</v>
      </c>
      <c r="E2321" s="193"/>
      <c r="G2321" s="193"/>
      <c r="O2321" s="339"/>
    </row>
    <row r="2322" spans="1:17" ht="14.25" customHeight="1">
      <c r="A2322" s="190"/>
      <c r="B2322" s="191" t="s">
        <v>92</v>
      </c>
      <c r="C2322" s="192">
        <v>1</v>
      </c>
      <c r="D2322" s="191" t="s">
        <v>82</v>
      </c>
      <c r="E2322" s="193"/>
      <c r="G2322" s="193"/>
      <c r="O2322" s="339"/>
    </row>
    <row r="2323" spans="1:17" ht="14.25" customHeight="1">
      <c r="A2323" s="190"/>
      <c r="C2323" s="193"/>
      <c r="E2323" s="193"/>
      <c r="G2323" s="193"/>
      <c r="O2323" s="339"/>
    </row>
    <row r="2324" spans="1:17" ht="14.25" customHeight="1">
      <c r="A2324" s="245" t="s">
        <v>820</v>
      </c>
      <c r="B2324" s="544" t="s">
        <v>997</v>
      </c>
      <c r="C2324" s="550"/>
      <c r="D2324" s="550"/>
      <c r="E2324" s="550"/>
      <c r="F2324" s="550"/>
      <c r="G2324" s="550"/>
      <c r="H2324" s="550"/>
      <c r="I2324" s="550"/>
      <c r="J2324" s="550"/>
      <c r="K2324" s="550"/>
      <c r="L2324" s="550"/>
      <c r="M2324" s="550"/>
      <c r="N2324" s="550"/>
      <c r="O2324" s="252">
        <v>98301</v>
      </c>
      <c r="P2324" s="350"/>
    </row>
    <row r="2325" spans="1:17" ht="14.25" customHeight="1">
      <c r="A2325" s="190"/>
      <c r="B2325" s="193"/>
      <c r="E2325" s="193"/>
      <c r="G2325" s="193"/>
      <c r="O2325" s="339"/>
    </row>
    <row r="2326" spans="1:17" ht="15" customHeight="1">
      <c r="A2326" s="190"/>
      <c r="C2326" s="193" t="s">
        <v>87</v>
      </c>
      <c r="E2326" s="193"/>
      <c r="G2326" s="193"/>
      <c r="O2326" s="339"/>
    </row>
    <row r="2327" spans="1:17" ht="14.25" customHeight="1">
      <c r="A2327" s="190"/>
      <c r="B2327" s="191" t="s">
        <v>92</v>
      </c>
      <c r="C2327" s="192">
        <v>3</v>
      </c>
      <c r="D2327" s="191" t="s">
        <v>82</v>
      </c>
      <c r="E2327" s="193"/>
      <c r="O2327" s="339"/>
    </row>
    <row r="2328" spans="1:17" ht="14.25" customHeight="1">
      <c r="A2328" s="190"/>
      <c r="C2328" s="193"/>
      <c r="E2328" s="193"/>
      <c r="G2328" s="193"/>
      <c r="O2328" s="339"/>
    </row>
    <row r="2329" spans="1:17" ht="14.25" customHeight="1">
      <c r="A2329" s="188" t="s">
        <v>821</v>
      </c>
      <c r="B2329" s="551" t="s">
        <v>822</v>
      </c>
      <c r="C2329" s="552"/>
      <c r="D2329" s="552"/>
      <c r="E2329" s="552"/>
      <c r="F2329" s="552"/>
      <c r="G2329" s="552"/>
      <c r="H2329" s="552"/>
      <c r="I2329" s="552"/>
      <c r="J2329" s="552"/>
      <c r="K2329" s="552"/>
      <c r="L2329" s="552"/>
      <c r="M2329" s="552"/>
      <c r="N2329" s="552"/>
      <c r="O2329" s="337"/>
      <c r="P2329" s="338"/>
      <c r="Q2329" s="129"/>
    </row>
    <row r="2330" spans="1:17" ht="14.25" customHeight="1">
      <c r="A2330" s="194"/>
      <c r="B2330" s="136"/>
      <c r="C2330" s="136"/>
      <c r="D2330" s="136"/>
      <c r="E2330" s="136"/>
      <c r="F2330" s="136"/>
      <c r="G2330" s="136"/>
      <c r="H2330" s="136"/>
      <c r="I2330" s="136"/>
      <c r="J2330" s="136"/>
      <c r="K2330" s="136"/>
      <c r="L2330" s="136"/>
      <c r="M2330" s="136"/>
      <c r="N2330" s="136"/>
      <c r="O2330" s="346"/>
      <c r="P2330" s="347"/>
    </row>
    <row r="2331" spans="1:17" ht="14.25" customHeight="1">
      <c r="A2331" s="245" t="s">
        <v>823</v>
      </c>
      <c r="B2331" s="544" t="s">
        <v>824</v>
      </c>
      <c r="C2331" s="550"/>
      <c r="D2331" s="550"/>
      <c r="E2331" s="550"/>
      <c r="F2331" s="550"/>
      <c r="G2331" s="550"/>
      <c r="H2331" s="550"/>
      <c r="I2331" s="550"/>
      <c r="J2331" s="550"/>
      <c r="K2331" s="550"/>
      <c r="L2331" s="550"/>
      <c r="M2331" s="550"/>
      <c r="N2331" s="550"/>
      <c r="O2331" s="252" t="s">
        <v>1004</v>
      </c>
      <c r="P2331" s="350" t="s">
        <v>74</v>
      </c>
    </row>
    <row r="2332" spans="1:17" ht="14.25" customHeight="1">
      <c r="A2332" s="195"/>
      <c r="B2332" s="263"/>
      <c r="C2332" s="196"/>
      <c r="D2332" s="196"/>
      <c r="E2332" s="196"/>
      <c r="F2332" s="196"/>
      <c r="G2332" s="196"/>
      <c r="H2332" s="196"/>
      <c r="I2332" s="196"/>
      <c r="J2332" s="196"/>
      <c r="K2332" s="196"/>
      <c r="L2332" s="196"/>
      <c r="M2332" s="196"/>
      <c r="N2332" s="196"/>
      <c r="O2332" s="252"/>
      <c r="P2332" s="350"/>
    </row>
    <row r="2333" spans="1:17" ht="14.25" customHeight="1">
      <c r="A2333" s="190"/>
      <c r="C2333" s="193" t="s">
        <v>75</v>
      </c>
      <c r="E2333" s="193"/>
      <c r="G2333" s="193"/>
      <c r="O2333" s="339"/>
    </row>
    <row r="2334" spans="1:17" ht="14.25" customHeight="1">
      <c r="A2334" s="190"/>
      <c r="B2334" s="128" t="s">
        <v>825</v>
      </c>
      <c r="C2334" s="197">
        <v>184.64</v>
      </c>
      <c r="D2334" s="128" t="s">
        <v>50</v>
      </c>
      <c r="E2334" s="193"/>
      <c r="G2334" s="193"/>
      <c r="O2334" s="339"/>
    </row>
    <row r="2335" spans="1:17" ht="14.25" customHeight="1">
      <c r="A2335" s="190"/>
      <c r="B2335" s="128" t="s">
        <v>826</v>
      </c>
      <c r="C2335" s="197">
        <v>341.7</v>
      </c>
      <c r="D2335" s="128" t="s">
        <v>50</v>
      </c>
      <c r="E2335" s="193"/>
      <c r="G2335" s="193"/>
      <c r="O2335" s="339"/>
    </row>
    <row r="2336" spans="1:17" ht="14.25" customHeight="1">
      <c r="A2336" s="190"/>
      <c r="C2336" s="193"/>
      <c r="E2336" s="193"/>
      <c r="G2336" s="193"/>
      <c r="O2336" s="339"/>
    </row>
    <row r="2337" spans="1:17" ht="14.25" customHeight="1">
      <c r="A2337" s="190"/>
      <c r="B2337" s="191" t="s">
        <v>92</v>
      </c>
      <c r="C2337" s="274">
        <f>SUM(C2334:C2335)</f>
        <v>526.33999999999992</v>
      </c>
      <c r="D2337" s="191" t="s">
        <v>50</v>
      </c>
      <c r="E2337" s="193"/>
      <c r="G2337" s="193"/>
      <c r="O2337" s="339"/>
    </row>
    <row r="2338" spans="1:17" ht="14.25" customHeight="1">
      <c r="A2338" s="190"/>
      <c r="C2338" s="193"/>
      <c r="E2338" s="193"/>
      <c r="G2338" s="193"/>
      <c r="O2338" s="339"/>
    </row>
    <row r="2339" spans="1:17" ht="14.25" customHeight="1">
      <c r="A2339" s="245" t="s">
        <v>827</v>
      </c>
      <c r="B2339" s="544" t="s">
        <v>998</v>
      </c>
      <c r="C2339" s="550"/>
      <c r="D2339" s="550"/>
      <c r="E2339" s="550"/>
      <c r="F2339" s="550"/>
      <c r="G2339" s="550"/>
      <c r="H2339" s="550"/>
      <c r="I2339" s="550"/>
      <c r="J2339" s="550"/>
      <c r="K2339" s="550"/>
      <c r="L2339" s="550"/>
      <c r="M2339" s="550"/>
      <c r="N2339" s="550"/>
      <c r="O2339" s="386" t="s">
        <v>999</v>
      </c>
      <c r="P2339" s="350"/>
    </row>
    <row r="2340" spans="1:17" ht="14.25" customHeight="1">
      <c r="A2340" s="194"/>
      <c r="B2340" s="246"/>
      <c r="C2340" s="246"/>
      <c r="D2340" s="246"/>
      <c r="E2340" s="246"/>
      <c r="F2340" s="246"/>
      <c r="G2340" s="246"/>
      <c r="H2340" s="246"/>
      <c r="I2340" s="246"/>
      <c r="J2340" s="246"/>
      <c r="K2340" s="246"/>
      <c r="L2340" s="246"/>
      <c r="M2340" s="246"/>
      <c r="N2340" s="246"/>
      <c r="O2340" s="252"/>
      <c r="P2340" s="350"/>
    </row>
    <row r="2341" spans="1:17" ht="14.25" customHeight="1">
      <c r="A2341" s="190"/>
      <c r="C2341" s="193" t="s">
        <v>75</v>
      </c>
      <c r="E2341" s="193"/>
      <c r="G2341" s="193"/>
      <c r="O2341" s="339"/>
    </row>
    <row r="2342" spans="1:17" ht="14.25" customHeight="1">
      <c r="A2342" s="190"/>
      <c r="B2342" s="128" t="s">
        <v>825</v>
      </c>
      <c r="C2342" s="197">
        <v>45.25</v>
      </c>
      <c r="D2342" s="128" t="s">
        <v>50</v>
      </c>
      <c r="E2342" s="193"/>
      <c r="G2342" s="193"/>
      <c r="O2342" s="339"/>
    </row>
    <row r="2343" spans="1:17" ht="14.25" customHeight="1">
      <c r="A2343" s="190"/>
      <c r="B2343" s="128" t="s">
        <v>826</v>
      </c>
      <c r="C2343" s="193">
        <v>82.5</v>
      </c>
      <c r="D2343" s="128" t="s">
        <v>50</v>
      </c>
      <c r="E2343" s="193"/>
      <c r="G2343" s="193"/>
      <c r="O2343" s="339"/>
    </row>
    <row r="2344" spans="1:17" ht="14.25" customHeight="1">
      <c r="A2344" s="190"/>
      <c r="C2344" s="193"/>
      <c r="E2344" s="193"/>
      <c r="G2344" s="193"/>
      <c r="O2344" s="339"/>
    </row>
    <row r="2345" spans="1:17" ht="14.25" customHeight="1">
      <c r="A2345" s="190"/>
      <c r="B2345" s="191" t="s">
        <v>92</v>
      </c>
      <c r="C2345" s="274">
        <f>SUM(C2342:C2343)</f>
        <v>127.75</v>
      </c>
      <c r="D2345" s="191" t="s">
        <v>50</v>
      </c>
      <c r="E2345" s="193"/>
      <c r="G2345" s="193"/>
      <c r="O2345" s="339"/>
    </row>
    <row r="2346" spans="1:17" ht="14.25" customHeight="1">
      <c r="A2346" s="190"/>
      <c r="C2346" s="193"/>
      <c r="E2346" s="193"/>
      <c r="G2346" s="193"/>
      <c r="O2346" s="339"/>
    </row>
    <row r="2347" spans="1:17" ht="14.25" customHeight="1">
      <c r="A2347" s="188" t="s">
        <v>828</v>
      </c>
      <c r="B2347" s="551" t="s">
        <v>829</v>
      </c>
      <c r="C2347" s="552"/>
      <c r="D2347" s="552"/>
      <c r="E2347" s="552"/>
      <c r="F2347" s="552"/>
      <c r="G2347" s="552"/>
      <c r="H2347" s="552"/>
      <c r="I2347" s="552"/>
      <c r="J2347" s="552"/>
      <c r="K2347" s="552"/>
      <c r="L2347" s="552"/>
      <c r="M2347" s="552"/>
      <c r="N2347" s="552"/>
      <c r="O2347" s="337"/>
      <c r="P2347" s="338"/>
      <c r="Q2347" s="129"/>
    </row>
    <row r="2348" spans="1:17" ht="14.25" customHeight="1">
      <c r="A2348" s="194"/>
      <c r="B2348" s="136"/>
      <c r="C2348" s="136"/>
      <c r="D2348" s="136"/>
      <c r="E2348" s="136"/>
      <c r="F2348" s="136"/>
      <c r="G2348" s="136"/>
      <c r="H2348" s="136"/>
      <c r="I2348" s="136"/>
      <c r="J2348" s="136"/>
      <c r="K2348" s="136"/>
      <c r="L2348" s="136"/>
      <c r="M2348" s="136"/>
      <c r="N2348" s="136"/>
      <c r="O2348" s="346"/>
      <c r="P2348" s="347"/>
    </row>
    <row r="2349" spans="1:17" ht="14.25" customHeight="1">
      <c r="A2349" s="245" t="s">
        <v>830</v>
      </c>
      <c r="B2349" s="544" t="s">
        <v>831</v>
      </c>
      <c r="C2349" s="550"/>
      <c r="D2349" s="550"/>
      <c r="E2349" s="550"/>
      <c r="F2349" s="550"/>
      <c r="G2349" s="550"/>
      <c r="H2349" s="550"/>
      <c r="I2349" s="550"/>
      <c r="J2349" s="550"/>
      <c r="K2349" s="550"/>
      <c r="L2349" s="550"/>
      <c r="M2349" s="550"/>
      <c r="N2349" s="550"/>
      <c r="O2349" s="252">
        <v>98307</v>
      </c>
      <c r="P2349" s="350"/>
    </row>
    <row r="2350" spans="1:17" ht="14.25" customHeight="1">
      <c r="A2350" s="194"/>
      <c r="B2350" s="246"/>
      <c r="C2350" s="246"/>
      <c r="D2350" s="246"/>
      <c r="E2350" s="246"/>
      <c r="F2350" s="246"/>
      <c r="G2350" s="246"/>
      <c r="H2350" s="246"/>
      <c r="I2350" s="246"/>
      <c r="J2350" s="246"/>
      <c r="K2350" s="246"/>
      <c r="L2350" s="246"/>
      <c r="M2350" s="246"/>
      <c r="N2350" s="246"/>
      <c r="O2350" s="252"/>
      <c r="P2350" s="350"/>
    </row>
    <row r="2351" spans="1:17" ht="14.25" customHeight="1">
      <c r="A2351" s="194"/>
      <c r="B2351" s="246"/>
      <c r="C2351" s="259" t="s">
        <v>87</v>
      </c>
      <c r="D2351" s="246"/>
      <c r="E2351" s="246"/>
      <c r="F2351" s="246"/>
      <c r="G2351" s="246"/>
      <c r="H2351" s="246"/>
      <c r="I2351" s="246"/>
      <c r="J2351" s="246"/>
      <c r="K2351" s="246"/>
      <c r="L2351" s="246"/>
      <c r="M2351" s="246"/>
      <c r="N2351" s="246"/>
      <c r="O2351" s="252"/>
      <c r="P2351" s="350"/>
    </row>
    <row r="2352" spans="1:17" ht="14.25" customHeight="1">
      <c r="A2352" s="190"/>
      <c r="B2352" s="191" t="s">
        <v>92</v>
      </c>
      <c r="C2352" s="192">
        <f>10+2+1+1+2</f>
        <v>16</v>
      </c>
      <c r="D2352" s="191" t="s">
        <v>82</v>
      </c>
      <c r="E2352" s="193"/>
      <c r="G2352" s="193"/>
      <c r="O2352" s="339"/>
    </row>
    <row r="2353" spans="1:33" ht="14.25" customHeight="1">
      <c r="A2353" s="190"/>
      <c r="C2353" s="193"/>
      <c r="E2353" s="193"/>
      <c r="G2353" s="193"/>
      <c r="O2353" s="339"/>
    </row>
    <row r="2354" spans="1:33" ht="14.25" customHeight="1">
      <c r="A2354" s="245" t="s">
        <v>907</v>
      </c>
      <c r="B2354" s="544" t="s">
        <v>982</v>
      </c>
      <c r="C2354" s="544"/>
      <c r="D2354" s="544"/>
      <c r="E2354" s="544"/>
      <c r="F2354" s="544"/>
      <c r="G2354" s="544"/>
      <c r="H2354" s="544"/>
      <c r="I2354" s="544"/>
      <c r="J2354" s="544"/>
      <c r="K2354" s="544"/>
      <c r="L2354" s="544"/>
      <c r="M2354" s="544"/>
      <c r="N2354" s="544"/>
      <c r="O2354" s="252" t="s">
        <v>983</v>
      </c>
      <c r="P2354" s="350" t="s">
        <v>970</v>
      </c>
    </row>
    <row r="2355" spans="1:33" ht="14.25" customHeight="1">
      <c r="A2355" s="194"/>
      <c r="B2355" s="246"/>
      <c r="C2355" s="246"/>
      <c r="D2355" s="246"/>
      <c r="E2355" s="246"/>
      <c r="F2355" s="246"/>
      <c r="G2355" s="246"/>
      <c r="H2355" s="246"/>
      <c r="I2355" s="246"/>
      <c r="J2355" s="246"/>
      <c r="K2355" s="246"/>
      <c r="L2355" s="246"/>
      <c r="M2355" s="246"/>
      <c r="N2355" s="246"/>
      <c r="O2355" s="252"/>
      <c r="P2355" s="350"/>
    </row>
    <row r="2356" spans="1:33" ht="14.25" customHeight="1">
      <c r="A2356" s="194"/>
      <c r="B2356" s="246"/>
      <c r="C2356" s="259" t="s">
        <v>87</v>
      </c>
      <c r="D2356" s="246"/>
      <c r="E2356" s="246"/>
      <c r="F2356" s="246"/>
      <c r="G2356" s="246"/>
      <c r="H2356" s="246"/>
      <c r="I2356" s="246"/>
      <c r="J2356" s="246"/>
      <c r="K2356" s="246"/>
      <c r="L2356" s="246"/>
      <c r="M2356" s="246"/>
      <c r="N2356" s="246"/>
      <c r="O2356" s="252"/>
      <c r="P2356" s="350"/>
    </row>
    <row r="2357" spans="1:33" ht="14.25" customHeight="1">
      <c r="A2357" s="190"/>
      <c r="B2357" s="191" t="s">
        <v>92</v>
      </c>
      <c r="C2357" s="192">
        <f>8+7</f>
        <v>15</v>
      </c>
      <c r="D2357" s="191" t="s">
        <v>82</v>
      </c>
      <c r="E2357" s="193"/>
      <c r="G2357" s="193"/>
      <c r="O2357" s="339"/>
    </row>
    <row r="2358" spans="1:33" ht="14.25" customHeight="1">
      <c r="A2358" s="190"/>
      <c r="C2358" s="193"/>
      <c r="E2358" s="193"/>
      <c r="G2358" s="193"/>
      <c r="O2358" s="339"/>
      <c r="Q2358" s="359"/>
      <c r="R2358" s="119"/>
      <c r="S2358" s="119"/>
      <c r="T2358" s="119"/>
      <c r="U2358" s="119"/>
      <c r="V2358" s="119"/>
      <c r="W2358" s="119"/>
      <c r="X2358" s="119"/>
      <c r="Y2358" s="119"/>
      <c r="Z2358" s="119"/>
      <c r="AA2358" s="119"/>
      <c r="AB2358" s="119"/>
      <c r="AC2358" s="119"/>
      <c r="AD2358" s="119"/>
      <c r="AE2358" s="119"/>
      <c r="AF2358" s="119"/>
      <c r="AG2358" s="119"/>
    </row>
    <row r="2359" spans="1:33" ht="14.25" customHeight="1">
      <c r="A2359" s="188" t="s">
        <v>832</v>
      </c>
      <c r="B2359" s="551" t="s">
        <v>833</v>
      </c>
      <c r="C2359" s="552"/>
      <c r="D2359" s="552"/>
      <c r="E2359" s="552"/>
      <c r="F2359" s="552"/>
      <c r="G2359" s="552"/>
      <c r="H2359" s="552"/>
      <c r="I2359" s="552"/>
      <c r="J2359" s="552"/>
      <c r="K2359" s="552"/>
      <c r="L2359" s="552"/>
      <c r="M2359" s="552"/>
      <c r="N2359" s="552"/>
      <c r="O2359" s="337"/>
      <c r="P2359" s="338"/>
      <c r="Q2359" s="129"/>
    </row>
    <row r="2360" spans="1:33">
      <c r="A2360" s="202"/>
      <c r="B2360" s="206"/>
      <c r="C2360" s="206"/>
      <c r="D2360" s="206"/>
      <c r="E2360" s="206"/>
      <c r="F2360" s="206"/>
      <c r="G2360" s="206"/>
      <c r="H2360" s="206"/>
      <c r="I2360" s="206"/>
      <c r="J2360" s="206"/>
      <c r="K2360" s="206"/>
      <c r="L2360" s="206"/>
      <c r="M2360" s="206"/>
      <c r="N2360" s="206"/>
      <c r="O2360" s="206"/>
      <c r="P2360" s="389"/>
      <c r="Q2360" s="175"/>
      <c r="R2360" s="175"/>
    </row>
    <row r="2361" spans="1:33" s="119" customFormat="1" ht="15" customHeight="1">
      <c r="A2361" s="247" t="s">
        <v>834</v>
      </c>
      <c r="B2361" s="548" t="s">
        <v>669</v>
      </c>
      <c r="C2361" s="548"/>
      <c r="D2361" s="548"/>
      <c r="E2361" s="548"/>
      <c r="F2361" s="548"/>
      <c r="G2361" s="548"/>
      <c r="H2361" s="548"/>
      <c r="I2361" s="548"/>
      <c r="J2361" s="548"/>
      <c r="K2361" s="548"/>
      <c r="L2361" s="548"/>
      <c r="M2361" s="548"/>
      <c r="N2361" s="548"/>
      <c r="O2361" s="378">
        <v>97882</v>
      </c>
      <c r="Q2361" s="390"/>
    </row>
    <row r="2362" spans="1:33" s="119" customFormat="1">
      <c r="A2362" s="202"/>
      <c r="B2362" s="249"/>
      <c r="C2362" s="249"/>
      <c r="D2362" s="249"/>
      <c r="E2362" s="249"/>
      <c r="F2362" s="249"/>
      <c r="G2362" s="249"/>
      <c r="H2362" s="249"/>
      <c r="I2362" s="249"/>
      <c r="J2362" s="249"/>
      <c r="K2362" s="249"/>
      <c r="L2362" s="249"/>
      <c r="M2362" s="249"/>
      <c r="N2362" s="249"/>
      <c r="O2362" s="249"/>
      <c r="P2362" s="378"/>
      <c r="Q2362" s="390"/>
    </row>
    <row r="2363" spans="1:33" ht="14.25" customHeight="1">
      <c r="A2363" s="194"/>
      <c r="B2363" s="246"/>
      <c r="C2363" s="259" t="s">
        <v>87</v>
      </c>
      <c r="D2363" s="246"/>
      <c r="E2363" s="246"/>
      <c r="F2363" s="246"/>
      <c r="G2363" s="246"/>
      <c r="H2363" s="246"/>
      <c r="I2363" s="246"/>
      <c r="J2363" s="246"/>
      <c r="K2363" s="246"/>
      <c r="L2363" s="246"/>
      <c r="M2363" s="246"/>
      <c r="N2363" s="246"/>
      <c r="O2363" s="252"/>
      <c r="P2363" s="350"/>
    </row>
    <row r="2364" spans="1:33" ht="15" customHeight="1">
      <c r="A2364" s="190"/>
      <c r="B2364" s="191" t="s">
        <v>92</v>
      </c>
      <c r="C2364" s="192">
        <v>2</v>
      </c>
      <c r="D2364" s="191" t="s">
        <v>82</v>
      </c>
      <c r="E2364" s="193"/>
      <c r="G2364" s="193"/>
      <c r="O2364" s="128"/>
      <c r="P2364" s="388"/>
    </row>
    <row r="2365" spans="1:33" ht="14.25">
      <c r="A2365" s="190"/>
      <c r="C2365" s="193"/>
      <c r="E2365" s="193"/>
      <c r="G2365" s="193"/>
      <c r="O2365" s="128"/>
      <c r="P2365" s="388"/>
    </row>
    <row r="2366" spans="1:33" ht="14.25" customHeight="1">
      <c r="A2366" s="188" t="s">
        <v>835</v>
      </c>
      <c r="B2366" s="551" t="s">
        <v>757</v>
      </c>
      <c r="C2366" s="552"/>
      <c r="D2366" s="552"/>
      <c r="E2366" s="552"/>
      <c r="F2366" s="552"/>
      <c r="G2366" s="552"/>
      <c r="H2366" s="552"/>
      <c r="I2366" s="552"/>
      <c r="J2366" s="552"/>
      <c r="K2366" s="552"/>
      <c r="L2366" s="552"/>
      <c r="M2366" s="552"/>
      <c r="N2366" s="552"/>
      <c r="O2366" s="337"/>
      <c r="P2366" s="338"/>
      <c r="Q2366" s="129"/>
    </row>
    <row r="2367" spans="1:33" ht="14.25" customHeight="1">
      <c r="A2367" s="194"/>
      <c r="B2367" s="136"/>
      <c r="C2367" s="136"/>
      <c r="D2367" s="136"/>
      <c r="E2367" s="136"/>
      <c r="F2367" s="136"/>
      <c r="G2367" s="136"/>
      <c r="H2367" s="136"/>
      <c r="I2367" s="136"/>
      <c r="J2367" s="136"/>
      <c r="K2367" s="136"/>
      <c r="L2367" s="136"/>
      <c r="M2367" s="136"/>
      <c r="N2367" s="136"/>
      <c r="O2367" s="346"/>
      <c r="P2367" s="347"/>
    </row>
    <row r="2368" spans="1:33">
      <c r="A2368" s="247" t="s">
        <v>836</v>
      </c>
      <c r="B2368" s="548" t="s">
        <v>759</v>
      </c>
      <c r="C2368" s="548"/>
      <c r="D2368" s="548"/>
      <c r="E2368" s="548"/>
      <c r="F2368" s="548"/>
      <c r="G2368" s="548"/>
      <c r="H2368" s="548"/>
      <c r="I2368" s="548"/>
      <c r="J2368" s="548"/>
      <c r="K2368" s="548"/>
      <c r="L2368" s="548"/>
      <c r="M2368" s="548"/>
      <c r="N2368" s="548"/>
      <c r="O2368" s="378">
        <v>91834</v>
      </c>
      <c r="P2368" s="128"/>
      <c r="Q2368" s="248"/>
    </row>
    <row r="2369" spans="1:17" ht="15.75" customHeight="1">
      <c r="A2369" s="202"/>
      <c r="B2369" s="249"/>
      <c r="C2369" s="249"/>
      <c r="D2369" s="249"/>
      <c r="E2369" s="249"/>
      <c r="F2369" s="249"/>
      <c r="G2369" s="249"/>
      <c r="H2369" s="249"/>
      <c r="I2369" s="249"/>
      <c r="J2369" s="249"/>
      <c r="K2369" s="249"/>
      <c r="L2369" s="249"/>
      <c r="M2369" s="249"/>
      <c r="N2369" s="249"/>
      <c r="O2369" s="378"/>
      <c r="P2369" s="128"/>
      <c r="Q2369" s="248"/>
    </row>
    <row r="2370" spans="1:17" ht="14.25">
      <c r="A2370" s="190"/>
      <c r="C2370" s="193" t="s">
        <v>75</v>
      </c>
      <c r="E2370" s="193"/>
      <c r="G2370" s="193"/>
      <c r="O2370" s="388"/>
      <c r="P2370" s="128"/>
    </row>
    <row r="2371" spans="1:17" ht="15" customHeight="1">
      <c r="A2371" s="190"/>
      <c r="B2371" s="191" t="s">
        <v>92</v>
      </c>
      <c r="C2371" s="274">
        <v>69.78</v>
      </c>
      <c r="D2371" s="191" t="s">
        <v>50</v>
      </c>
      <c r="E2371" s="193"/>
      <c r="G2371" s="193"/>
      <c r="O2371" s="388"/>
      <c r="P2371" s="128"/>
    </row>
    <row r="2372" spans="1:17" ht="14.25">
      <c r="A2372" s="190"/>
      <c r="C2372" s="193"/>
      <c r="E2372" s="193"/>
      <c r="G2372" s="193"/>
      <c r="O2372" s="388"/>
      <c r="P2372" s="128"/>
    </row>
    <row r="2373" spans="1:17" ht="14.25" customHeight="1">
      <c r="A2373" s="245" t="s">
        <v>837</v>
      </c>
      <c r="B2373" s="544" t="s">
        <v>767</v>
      </c>
      <c r="C2373" s="550"/>
      <c r="D2373" s="550"/>
      <c r="E2373" s="550"/>
      <c r="F2373" s="550"/>
      <c r="G2373" s="550"/>
      <c r="H2373" s="550"/>
      <c r="I2373" s="550"/>
      <c r="J2373" s="550"/>
      <c r="K2373" s="550"/>
      <c r="L2373" s="550"/>
      <c r="M2373" s="550"/>
      <c r="N2373" s="550"/>
      <c r="O2373" s="252">
        <v>91863</v>
      </c>
      <c r="P2373" s="350"/>
    </row>
    <row r="2374" spans="1:17" ht="14.25" customHeight="1">
      <c r="A2374" s="194"/>
      <c r="B2374" s="246"/>
      <c r="C2374" s="246"/>
      <c r="D2374" s="246"/>
      <c r="E2374" s="246"/>
      <c r="F2374" s="246"/>
      <c r="G2374" s="246"/>
      <c r="H2374" s="246"/>
      <c r="I2374" s="246"/>
      <c r="J2374" s="246"/>
      <c r="K2374" s="246"/>
      <c r="L2374" s="246"/>
      <c r="M2374" s="246"/>
      <c r="N2374" s="246"/>
      <c r="O2374" s="252"/>
      <c r="P2374" s="350"/>
    </row>
    <row r="2375" spans="1:17" ht="14.25" customHeight="1">
      <c r="A2375" s="194"/>
      <c r="B2375" s="246"/>
      <c r="C2375" s="259" t="s">
        <v>75</v>
      </c>
      <c r="D2375" s="246"/>
      <c r="E2375" s="246"/>
      <c r="F2375" s="246"/>
      <c r="G2375" s="246"/>
      <c r="H2375" s="246"/>
      <c r="I2375" s="246"/>
      <c r="J2375" s="246"/>
      <c r="K2375" s="246"/>
      <c r="L2375" s="246"/>
      <c r="M2375" s="246"/>
      <c r="N2375" s="246"/>
      <c r="O2375" s="252"/>
      <c r="P2375" s="350"/>
    </row>
    <row r="2376" spans="1:17" ht="14.25" customHeight="1">
      <c r="A2376" s="190"/>
      <c r="B2376" s="191" t="s">
        <v>92</v>
      </c>
      <c r="C2376" s="192">
        <v>161.61000000000001</v>
      </c>
      <c r="D2376" s="191" t="s">
        <v>50</v>
      </c>
      <c r="E2376" s="193"/>
      <c r="G2376" s="193"/>
      <c r="O2376" s="339"/>
    </row>
    <row r="2377" spans="1:17" ht="14.25" customHeight="1">
      <c r="A2377" s="190"/>
      <c r="C2377" s="193"/>
      <c r="E2377" s="193"/>
      <c r="G2377" s="193"/>
      <c r="O2377" s="339"/>
    </row>
    <row r="2378" spans="1:17" ht="14.25" customHeight="1">
      <c r="A2378" s="245" t="s">
        <v>838</v>
      </c>
      <c r="B2378" s="544" t="s">
        <v>1319</v>
      </c>
      <c r="C2378" s="550"/>
      <c r="D2378" s="550"/>
      <c r="E2378" s="550"/>
      <c r="F2378" s="550"/>
      <c r="G2378" s="550"/>
      <c r="H2378" s="550"/>
      <c r="I2378" s="550"/>
      <c r="J2378" s="550"/>
      <c r="K2378" s="550"/>
      <c r="L2378" s="550"/>
      <c r="M2378" s="550"/>
      <c r="N2378" s="550"/>
      <c r="O2378" s="252">
        <v>93008</v>
      </c>
      <c r="P2378" s="350"/>
    </row>
    <row r="2379" spans="1:17" ht="14.25" customHeight="1">
      <c r="A2379" s="194"/>
      <c r="B2379" s="246"/>
      <c r="C2379" s="246"/>
      <c r="D2379" s="246"/>
      <c r="E2379" s="246"/>
      <c r="F2379" s="246"/>
      <c r="G2379" s="246"/>
      <c r="H2379" s="246"/>
      <c r="I2379" s="246"/>
      <c r="J2379" s="246"/>
      <c r="K2379" s="246"/>
      <c r="L2379" s="246"/>
      <c r="M2379" s="246"/>
      <c r="N2379" s="246"/>
      <c r="O2379" s="252"/>
      <c r="P2379" s="350"/>
    </row>
    <row r="2380" spans="1:17" ht="14.25" customHeight="1">
      <c r="A2380" s="194"/>
      <c r="B2380" s="246"/>
      <c r="C2380" s="259" t="s">
        <v>75</v>
      </c>
      <c r="D2380" s="246"/>
      <c r="E2380" s="246"/>
      <c r="F2380" s="246"/>
      <c r="G2380" s="246"/>
      <c r="H2380" s="246"/>
      <c r="I2380" s="246"/>
      <c r="J2380" s="246"/>
      <c r="K2380" s="246"/>
      <c r="L2380" s="246"/>
      <c r="M2380" s="246"/>
      <c r="N2380" s="246"/>
      <c r="O2380" s="252"/>
      <c r="P2380" s="350"/>
    </row>
    <row r="2381" spans="1:17" ht="14.25" customHeight="1">
      <c r="A2381" s="190"/>
      <c r="B2381" s="191" t="s">
        <v>92</v>
      </c>
      <c r="C2381" s="192">
        <v>16.88</v>
      </c>
      <c r="D2381" s="191" t="s">
        <v>50</v>
      </c>
      <c r="E2381" s="193"/>
      <c r="G2381" s="192"/>
      <c r="O2381" s="339"/>
    </row>
    <row r="2382" spans="1:17" ht="14.25" customHeight="1">
      <c r="A2382" s="190"/>
      <c r="C2382" s="193"/>
      <c r="E2382" s="193"/>
      <c r="G2382" s="193"/>
      <c r="O2382" s="339"/>
    </row>
    <row r="2383" spans="1:17" ht="33" customHeight="1">
      <c r="A2383" s="245" t="s">
        <v>908</v>
      </c>
      <c r="B2383" s="544" t="s">
        <v>1320</v>
      </c>
      <c r="C2383" s="544"/>
      <c r="D2383" s="544"/>
      <c r="E2383" s="544"/>
      <c r="F2383" s="544"/>
      <c r="G2383" s="544"/>
      <c r="H2383" s="544"/>
      <c r="I2383" s="544"/>
      <c r="J2383" s="544"/>
      <c r="K2383" s="544"/>
      <c r="L2383" s="544"/>
      <c r="M2383" s="544"/>
      <c r="N2383" s="544"/>
      <c r="O2383" s="252" t="s">
        <v>1321</v>
      </c>
      <c r="P2383" s="350" t="s">
        <v>970</v>
      </c>
    </row>
    <row r="2384" spans="1:17" ht="14.25" customHeight="1">
      <c r="A2384" s="194"/>
      <c r="B2384" s="246"/>
      <c r="C2384" s="246"/>
      <c r="D2384" s="246"/>
      <c r="E2384" s="246"/>
      <c r="F2384" s="246"/>
      <c r="G2384" s="246"/>
      <c r="H2384" s="246"/>
      <c r="I2384" s="246"/>
      <c r="J2384" s="246"/>
      <c r="K2384" s="246"/>
      <c r="L2384" s="246"/>
      <c r="M2384" s="246"/>
      <c r="N2384" s="246"/>
      <c r="O2384" s="252"/>
      <c r="P2384" s="350"/>
    </row>
    <row r="2385" spans="1:33" ht="14.25" customHeight="1">
      <c r="A2385" s="194"/>
      <c r="B2385" s="246"/>
      <c r="C2385" s="259" t="s">
        <v>75</v>
      </c>
      <c r="D2385" s="246"/>
      <c r="E2385" s="246"/>
      <c r="F2385" s="246"/>
      <c r="G2385" s="251"/>
      <c r="H2385" s="246"/>
      <c r="I2385" s="246"/>
      <c r="J2385" s="246"/>
      <c r="K2385" s="246"/>
      <c r="L2385" s="246"/>
      <c r="M2385" s="246"/>
      <c r="N2385" s="246"/>
      <c r="O2385" s="252"/>
      <c r="P2385" s="350"/>
    </row>
    <row r="2386" spans="1:33" ht="14.25" customHeight="1">
      <c r="A2386" s="190"/>
      <c r="B2386" s="191" t="s">
        <v>92</v>
      </c>
      <c r="C2386" s="192">
        <f>44.52*1.1</f>
        <v>48.972000000000008</v>
      </c>
      <c r="D2386" s="191" t="s">
        <v>50</v>
      </c>
      <c r="E2386" s="193"/>
      <c r="G2386" s="193"/>
      <c r="O2386" s="339"/>
    </row>
    <row r="2387" spans="1:33" ht="14.25" customHeight="1">
      <c r="A2387" s="190"/>
      <c r="C2387" s="193"/>
      <c r="E2387" s="193"/>
      <c r="G2387" s="193"/>
      <c r="O2387" s="339"/>
    </row>
    <row r="2388" spans="1:33" ht="14.25" customHeight="1">
      <c r="A2388" s="245" t="s">
        <v>839</v>
      </c>
      <c r="B2388" s="553" t="s">
        <v>840</v>
      </c>
      <c r="C2388" s="550"/>
      <c r="D2388" s="550"/>
      <c r="E2388" s="550"/>
      <c r="F2388" s="550"/>
      <c r="G2388" s="550"/>
      <c r="H2388" s="550"/>
      <c r="I2388" s="550"/>
      <c r="J2388" s="550"/>
      <c r="K2388" s="550"/>
      <c r="L2388" s="550"/>
      <c r="M2388" s="550"/>
      <c r="N2388" s="550"/>
      <c r="O2388" s="252">
        <v>91890</v>
      </c>
      <c r="P2388" s="350"/>
      <c r="Q2388" s="129"/>
      <c r="R2388" s="129"/>
      <c r="S2388" s="129"/>
      <c r="T2388" s="129"/>
      <c r="U2388" s="129"/>
      <c r="V2388" s="129"/>
      <c r="W2388" s="129"/>
      <c r="X2388" s="129"/>
      <c r="Y2388" s="129"/>
      <c r="Z2388" s="129"/>
      <c r="AA2388" s="129"/>
      <c r="AB2388" s="129"/>
      <c r="AC2388" s="129"/>
      <c r="AD2388" s="129"/>
      <c r="AE2388" s="129"/>
      <c r="AF2388" s="129"/>
      <c r="AG2388" s="129"/>
    </row>
    <row r="2389" spans="1:33" ht="14.25" customHeight="1">
      <c r="A2389" s="195"/>
      <c r="B2389" s="327"/>
      <c r="C2389" s="196"/>
      <c r="D2389" s="196"/>
      <c r="E2389" s="196"/>
      <c r="F2389" s="196"/>
      <c r="G2389" s="196"/>
      <c r="H2389" s="196"/>
      <c r="I2389" s="196"/>
      <c r="J2389" s="196"/>
      <c r="K2389" s="196"/>
      <c r="L2389" s="196"/>
      <c r="M2389" s="196"/>
      <c r="N2389" s="196"/>
      <c r="O2389" s="252"/>
      <c r="P2389" s="350"/>
      <c r="Q2389" s="129"/>
      <c r="R2389" s="129"/>
      <c r="S2389" s="129"/>
      <c r="T2389" s="129"/>
      <c r="U2389" s="129"/>
      <c r="V2389" s="129"/>
      <c r="W2389" s="129"/>
      <c r="X2389" s="129"/>
      <c r="Y2389" s="129"/>
      <c r="Z2389" s="129"/>
      <c r="AA2389" s="129"/>
      <c r="AB2389" s="129"/>
      <c r="AC2389" s="129"/>
      <c r="AD2389" s="129"/>
      <c r="AE2389" s="129"/>
      <c r="AF2389" s="129"/>
      <c r="AG2389" s="129"/>
    </row>
    <row r="2390" spans="1:33" ht="15" customHeight="1">
      <c r="A2390" s="194"/>
      <c r="B2390" s="246"/>
      <c r="C2390" s="259" t="s">
        <v>87</v>
      </c>
      <c r="D2390" s="246"/>
      <c r="E2390" s="246"/>
      <c r="F2390" s="246"/>
      <c r="G2390" s="246"/>
      <c r="H2390" s="246"/>
      <c r="I2390" s="246"/>
      <c r="J2390" s="246"/>
      <c r="K2390" s="246"/>
      <c r="L2390" s="246"/>
      <c r="M2390" s="246"/>
      <c r="N2390" s="246"/>
      <c r="O2390" s="252"/>
      <c r="P2390" s="350"/>
      <c r="Q2390" s="129"/>
      <c r="R2390" s="129"/>
      <c r="S2390" s="129"/>
      <c r="T2390" s="129"/>
      <c r="U2390" s="129"/>
      <c r="V2390" s="129"/>
      <c r="W2390" s="129"/>
      <c r="X2390" s="129"/>
      <c r="Y2390" s="129"/>
      <c r="Z2390" s="129"/>
      <c r="AA2390" s="129"/>
      <c r="AB2390" s="129"/>
      <c r="AC2390" s="129"/>
      <c r="AD2390" s="129"/>
      <c r="AE2390" s="129"/>
      <c r="AF2390" s="129"/>
      <c r="AG2390" s="129"/>
    </row>
    <row r="2391" spans="1:33" ht="14.25" customHeight="1">
      <c r="A2391" s="186"/>
      <c r="B2391" s="261" t="s">
        <v>92</v>
      </c>
      <c r="C2391" s="200">
        <v>90</v>
      </c>
      <c r="D2391" s="261" t="s">
        <v>82</v>
      </c>
      <c r="E2391" s="187"/>
      <c r="F2391" s="129"/>
      <c r="G2391" s="187"/>
      <c r="H2391" s="129"/>
      <c r="I2391" s="129"/>
      <c r="J2391" s="129"/>
      <c r="K2391" s="129"/>
      <c r="L2391" s="129"/>
      <c r="M2391" s="129"/>
      <c r="N2391" s="129"/>
      <c r="O2391" s="346"/>
      <c r="P2391" s="347"/>
    </row>
    <row r="2392" spans="1:33" ht="14.25" customHeight="1">
      <c r="A2392" s="190"/>
      <c r="C2392" s="193"/>
      <c r="E2392" s="193"/>
      <c r="G2392" s="193"/>
      <c r="O2392" s="339"/>
    </row>
    <row r="2393" spans="1:33" ht="14.25" customHeight="1">
      <c r="A2393" s="245" t="s">
        <v>1366</v>
      </c>
      <c r="B2393" s="544" t="s">
        <v>841</v>
      </c>
      <c r="C2393" s="550"/>
      <c r="D2393" s="550"/>
      <c r="E2393" s="550"/>
      <c r="F2393" s="550"/>
      <c r="G2393" s="550"/>
      <c r="H2393" s="550"/>
      <c r="I2393" s="550"/>
      <c r="J2393" s="550"/>
      <c r="K2393" s="550"/>
      <c r="L2393" s="550"/>
      <c r="M2393" s="550"/>
      <c r="N2393" s="550"/>
      <c r="O2393" s="252">
        <v>91875</v>
      </c>
      <c r="P2393" s="350"/>
    </row>
    <row r="2394" spans="1:33" ht="14.25" customHeight="1">
      <c r="A2394" s="194"/>
      <c r="B2394" s="246"/>
      <c r="C2394" s="246"/>
      <c r="D2394" s="246"/>
      <c r="E2394" s="246"/>
      <c r="F2394" s="246"/>
      <c r="G2394" s="246"/>
      <c r="H2394" s="246"/>
      <c r="I2394" s="246"/>
      <c r="J2394" s="246"/>
      <c r="K2394" s="246"/>
      <c r="L2394" s="246"/>
      <c r="M2394" s="246"/>
      <c r="N2394" s="246"/>
      <c r="O2394" s="252"/>
      <c r="P2394" s="350"/>
      <c r="Q2394" s="129"/>
      <c r="R2394" s="129"/>
      <c r="S2394" s="129"/>
      <c r="T2394" s="129"/>
      <c r="U2394" s="129"/>
      <c r="V2394" s="129"/>
      <c r="W2394" s="129"/>
      <c r="X2394" s="129"/>
      <c r="Y2394" s="129"/>
      <c r="Z2394" s="129"/>
      <c r="AA2394" s="129"/>
      <c r="AB2394" s="129"/>
      <c r="AC2394" s="129"/>
      <c r="AD2394" s="129"/>
      <c r="AE2394" s="129"/>
      <c r="AF2394" s="129"/>
      <c r="AG2394" s="129"/>
    </row>
    <row r="2395" spans="1:33" ht="15" customHeight="1">
      <c r="A2395" s="194"/>
      <c r="B2395" s="246"/>
      <c r="C2395" s="259" t="s">
        <v>87</v>
      </c>
      <c r="D2395" s="246"/>
      <c r="E2395" s="246"/>
      <c r="F2395" s="246"/>
      <c r="G2395" s="246"/>
      <c r="H2395" s="246"/>
      <c r="I2395" s="246"/>
      <c r="J2395" s="246"/>
      <c r="K2395" s="246"/>
      <c r="L2395" s="246"/>
      <c r="M2395" s="246"/>
      <c r="N2395" s="246"/>
      <c r="O2395" s="252"/>
      <c r="P2395" s="350"/>
      <c r="Q2395" s="129"/>
      <c r="R2395" s="129"/>
      <c r="S2395" s="129"/>
      <c r="T2395" s="129"/>
      <c r="U2395" s="129"/>
      <c r="V2395" s="129"/>
      <c r="W2395" s="129"/>
      <c r="X2395" s="129"/>
      <c r="Y2395" s="129"/>
      <c r="Z2395" s="129"/>
      <c r="AA2395" s="129"/>
      <c r="AB2395" s="129"/>
      <c r="AC2395" s="129"/>
      <c r="AD2395" s="129"/>
      <c r="AE2395" s="129"/>
      <c r="AF2395" s="129"/>
      <c r="AG2395" s="129"/>
    </row>
    <row r="2396" spans="1:33" ht="14.25" customHeight="1">
      <c r="A2396" s="186"/>
      <c r="B2396" s="261" t="s">
        <v>92</v>
      </c>
      <c r="C2396" s="200">
        <f>C2391*2</f>
        <v>180</v>
      </c>
      <c r="D2396" s="261" t="s">
        <v>82</v>
      </c>
      <c r="E2396" s="187"/>
      <c r="F2396" s="129"/>
      <c r="G2396" s="187"/>
      <c r="H2396" s="129"/>
      <c r="I2396" s="129"/>
      <c r="J2396" s="129"/>
      <c r="K2396" s="129"/>
      <c r="L2396" s="129"/>
      <c r="M2396" s="129"/>
      <c r="N2396" s="129"/>
      <c r="O2396" s="346"/>
      <c r="P2396" s="347"/>
    </row>
    <row r="2397" spans="1:33" ht="14.25" customHeight="1">
      <c r="A2397" s="190"/>
      <c r="C2397" s="193"/>
      <c r="E2397" s="193"/>
      <c r="G2397" s="193"/>
      <c r="O2397" s="339"/>
    </row>
    <row r="2398" spans="1:33" ht="14.25" customHeight="1">
      <c r="A2398" s="188" t="s">
        <v>186</v>
      </c>
      <c r="B2398" s="551" t="s">
        <v>64</v>
      </c>
      <c r="C2398" s="551"/>
      <c r="D2398" s="551"/>
      <c r="E2398" s="551"/>
      <c r="F2398" s="551"/>
      <c r="G2398" s="551"/>
      <c r="H2398" s="551"/>
      <c r="I2398" s="551"/>
      <c r="J2398" s="551"/>
      <c r="K2398" s="551"/>
      <c r="L2398" s="551"/>
      <c r="M2398" s="551"/>
      <c r="N2398" s="551"/>
      <c r="O2398" s="337"/>
      <c r="P2398" s="338"/>
    </row>
    <row r="2399" spans="1:33" ht="14.25" customHeight="1">
      <c r="A2399" s="190"/>
      <c r="C2399" s="193"/>
      <c r="E2399" s="193"/>
      <c r="G2399" s="193"/>
      <c r="P2399" s="339"/>
      <c r="Q2399" s="129"/>
    </row>
    <row r="2400" spans="1:33" ht="14.25" customHeight="1">
      <c r="A2400" s="245" t="s">
        <v>842</v>
      </c>
      <c r="B2400" s="553" t="s">
        <v>843</v>
      </c>
      <c r="C2400" s="550"/>
      <c r="D2400" s="550"/>
      <c r="E2400" s="550"/>
      <c r="F2400" s="550"/>
      <c r="G2400" s="550"/>
      <c r="H2400" s="550"/>
      <c r="I2400" s="550"/>
      <c r="J2400" s="550"/>
      <c r="K2400" s="550"/>
      <c r="L2400" s="550"/>
      <c r="M2400" s="550"/>
      <c r="N2400" s="550"/>
      <c r="O2400" s="252">
        <v>96989</v>
      </c>
      <c r="P2400" s="350"/>
    </row>
    <row r="2401" spans="1:16" ht="14.25" customHeight="1">
      <c r="A2401" s="190"/>
      <c r="C2401" s="193"/>
      <c r="E2401" s="193"/>
      <c r="G2401" s="193"/>
      <c r="O2401" s="339"/>
    </row>
    <row r="2402" spans="1:16" ht="15" customHeight="1">
      <c r="A2402" s="190"/>
      <c r="C2402" s="193" t="s">
        <v>87</v>
      </c>
      <c r="E2402" s="193"/>
      <c r="G2402" s="193"/>
      <c r="O2402" s="339"/>
    </row>
    <row r="2403" spans="1:16" ht="14.25" customHeight="1">
      <c r="A2403" s="190"/>
      <c r="B2403" s="191" t="s">
        <v>92</v>
      </c>
      <c r="C2403" s="192">
        <v>1</v>
      </c>
      <c r="D2403" s="191" t="s">
        <v>82</v>
      </c>
      <c r="E2403" s="193"/>
      <c r="G2403" s="193"/>
      <c r="O2403" s="339"/>
    </row>
    <row r="2404" spans="1:16" ht="15" customHeight="1">
      <c r="A2404" s="190"/>
      <c r="C2404" s="193"/>
      <c r="E2404" s="193"/>
      <c r="G2404" s="193"/>
      <c r="O2404" s="339"/>
    </row>
    <row r="2405" spans="1:16" ht="14.25" customHeight="1">
      <c r="A2405" s="245" t="s">
        <v>844</v>
      </c>
      <c r="B2405" s="553" t="s">
        <v>1097</v>
      </c>
      <c r="C2405" s="553"/>
      <c r="D2405" s="553"/>
      <c r="E2405" s="553"/>
      <c r="F2405" s="553"/>
      <c r="G2405" s="553"/>
      <c r="H2405" s="553"/>
      <c r="I2405" s="553"/>
      <c r="J2405" s="553"/>
      <c r="K2405" s="553"/>
      <c r="L2405" s="553"/>
      <c r="M2405" s="553"/>
      <c r="N2405" s="553"/>
      <c r="O2405" s="252" t="s">
        <v>1098</v>
      </c>
      <c r="P2405" s="350" t="s">
        <v>1099</v>
      </c>
    </row>
    <row r="2406" spans="1:16" ht="14.25" customHeight="1">
      <c r="A2406" s="190"/>
      <c r="C2406" s="193"/>
      <c r="E2406" s="193"/>
      <c r="G2406" s="193"/>
      <c r="O2406" s="339"/>
    </row>
    <row r="2407" spans="1:16" ht="14.25" customHeight="1">
      <c r="A2407" s="190"/>
      <c r="C2407" s="193" t="s">
        <v>87</v>
      </c>
      <c r="E2407" s="193"/>
      <c r="G2407" s="193"/>
      <c r="O2407" s="339"/>
    </row>
    <row r="2408" spans="1:16" ht="14.25" customHeight="1">
      <c r="A2408" s="190"/>
      <c r="B2408" s="191" t="s">
        <v>92</v>
      </c>
      <c r="C2408" s="192">
        <v>1</v>
      </c>
      <c r="D2408" s="191" t="s">
        <v>82</v>
      </c>
      <c r="E2408" s="193"/>
      <c r="G2408" s="193"/>
      <c r="O2408" s="339"/>
    </row>
    <row r="2409" spans="1:16" ht="15" customHeight="1">
      <c r="A2409" s="190"/>
      <c r="C2409" s="193"/>
      <c r="E2409" s="193"/>
      <c r="G2409" s="193"/>
      <c r="O2409" s="339"/>
    </row>
    <row r="2410" spans="1:16" ht="14.25" customHeight="1">
      <c r="A2410" s="245" t="s">
        <v>845</v>
      </c>
      <c r="B2410" s="553" t="s">
        <v>846</v>
      </c>
      <c r="C2410" s="550"/>
      <c r="D2410" s="550"/>
      <c r="E2410" s="550"/>
      <c r="F2410" s="550"/>
      <c r="G2410" s="550"/>
      <c r="H2410" s="550"/>
      <c r="I2410" s="550"/>
      <c r="J2410" s="550"/>
      <c r="K2410" s="550"/>
      <c r="L2410" s="550"/>
      <c r="M2410" s="550"/>
      <c r="N2410" s="550"/>
      <c r="O2410" s="252">
        <v>96985</v>
      </c>
      <c r="P2410" s="350"/>
    </row>
    <row r="2411" spans="1:16" ht="14.25" customHeight="1">
      <c r="A2411" s="190"/>
      <c r="C2411" s="193"/>
      <c r="E2411" s="193"/>
      <c r="G2411" s="193"/>
      <c r="O2411" s="339"/>
    </row>
    <row r="2412" spans="1:16" ht="15" customHeight="1">
      <c r="A2412" s="190"/>
      <c r="C2412" s="193" t="s">
        <v>87</v>
      </c>
      <c r="E2412" s="193"/>
      <c r="G2412" s="193"/>
      <c r="O2412" s="339"/>
    </row>
    <row r="2413" spans="1:16" ht="14.25" customHeight="1">
      <c r="A2413" s="190"/>
      <c r="B2413" s="191" t="s">
        <v>92</v>
      </c>
      <c r="C2413" s="192">
        <v>18</v>
      </c>
      <c r="D2413" s="191" t="s">
        <v>82</v>
      </c>
      <c r="E2413" s="193"/>
      <c r="G2413" s="193"/>
      <c r="O2413" s="339"/>
    </row>
    <row r="2414" spans="1:16" ht="15" customHeight="1">
      <c r="A2414" s="190"/>
      <c r="C2414" s="193"/>
      <c r="E2414" s="193"/>
      <c r="G2414" s="193"/>
      <c r="O2414" s="339"/>
    </row>
    <row r="2415" spans="1:16" ht="14.25" customHeight="1">
      <c r="A2415" s="245" t="s">
        <v>847</v>
      </c>
      <c r="B2415" s="553" t="s">
        <v>848</v>
      </c>
      <c r="C2415" s="550"/>
      <c r="D2415" s="550"/>
      <c r="E2415" s="550"/>
      <c r="F2415" s="550"/>
      <c r="G2415" s="550"/>
      <c r="H2415" s="550"/>
      <c r="I2415" s="550"/>
      <c r="J2415" s="550"/>
      <c r="K2415" s="550"/>
      <c r="L2415" s="550"/>
      <c r="M2415" s="550"/>
      <c r="N2415" s="550"/>
      <c r="O2415" s="252" t="s">
        <v>1053</v>
      </c>
      <c r="P2415" s="350" t="s">
        <v>74</v>
      </c>
    </row>
    <row r="2416" spans="1:16" ht="14.25" customHeight="1">
      <c r="A2416" s="190"/>
      <c r="C2416" s="193"/>
      <c r="E2416" s="193"/>
      <c r="G2416" s="193"/>
      <c r="O2416" s="339"/>
    </row>
    <row r="2417" spans="1:16" ht="15" customHeight="1">
      <c r="A2417" s="190"/>
      <c r="C2417" s="193" t="s">
        <v>87</v>
      </c>
      <c r="E2417" s="193"/>
      <c r="G2417" s="193"/>
      <c r="O2417" s="339"/>
    </row>
    <row r="2418" spans="1:16" ht="14.25" customHeight="1">
      <c r="A2418" s="190"/>
      <c r="B2418" s="191" t="s">
        <v>92</v>
      </c>
      <c r="C2418" s="192">
        <v>16</v>
      </c>
      <c r="D2418" s="191" t="s">
        <v>82</v>
      </c>
      <c r="E2418" s="193"/>
      <c r="G2418" s="193"/>
      <c r="O2418" s="339"/>
    </row>
    <row r="2419" spans="1:16" ht="15" customHeight="1">
      <c r="A2419" s="190"/>
      <c r="C2419" s="193"/>
      <c r="E2419" s="193"/>
      <c r="G2419" s="193"/>
      <c r="O2419" s="339"/>
    </row>
    <row r="2420" spans="1:16" ht="14.25" customHeight="1">
      <c r="A2420" s="245" t="s">
        <v>849</v>
      </c>
      <c r="B2420" s="553" t="s">
        <v>850</v>
      </c>
      <c r="C2420" s="550"/>
      <c r="D2420" s="550"/>
      <c r="E2420" s="550"/>
      <c r="F2420" s="550"/>
      <c r="G2420" s="550"/>
      <c r="H2420" s="550"/>
      <c r="I2420" s="550"/>
      <c r="J2420" s="550"/>
      <c r="K2420" s="550"/>
      <c r="L2420" s="550"/>
      <c r="M2420" s="550"/>
      <c r="N2420" s="550"/>
      <c r="O2420" s="252">
        <v>96973</v>
      </c>
      <c r="P2420" s="350"/>
    </row>
    <row r="2421" spans="1:16" ht="14.25" customHeight="1">
      <c r="A2421" s="190"/>
      <c r="C2421" s="193"/>
      <c r="E2421" s="193"/>
      <c r="G2421" s="193"/>
      <c r="O2421" s="339"/>
    </row>
    <row r="2422" spans="1:16" ht="14.25" customHeight="1">
      <c r="A2422" s="190"/>
      <c r="C2422" s="193" t="s">
        <v>75</v>
      </c>
      <c r="E2422" s="193"/>
      <c r="G2422" s="193"/>
      <c r="O2422" s="339"/>
    </row>
    <row r="2423" spans="1:16" ht="14.25" customHeight="1">
      <c r="A2423" s="190"/>
      <c r="B2423" s="191" t="s">
        <v>92</v>
      </c>
      <c r="C2423" s="274">
        <v>69.25</v>
      </c>
      <c r="D2423" s="191" t="s">
        <v>50</v>
      </c>
      <c r="E2423" s="193"/>
      <c r="G2423" s="193"/>
      <c r="O2423" s="339"/>
    </row>
    <row r="2424" spans="1:16" ht="15" customHeight="1">
      <c r="A2424" s="190"/>
      <c r="C2424" s="193"/>
      <c r="E2424" s="193"/>
      <c r="G2424" s="193"/>
      <c r="O2424" s="339"/>
    </row>
    <row r="2425" spans="1:16" ht="14.25" customHeight="1">
      <c r="A2425" s="245" t="s">
        <v>851</v>
      </c>
      <c r="B2425" s="553" t="s">
        <v>852</v>
      </c>
      <c r="C2425" s="550"/>
      <c r="D2425" s="550"/>
      <c r="E2425" s="550"/>
      <c r="F2425" s="550"/>
      <c r="G2425" s="550"/>
      <c r="H2425" s="550"/>
      <c r="I2425" s="550"/>
      <c r="J2425" s="550"/>
      <c r="K2425" s="550"/>
      <c r="L2425" s="550"/>
      <c r="M2425" s="550"/>
      <c r="N2425" s="550"/>
      <c r="O2425" s="252">
        <v>96974</v>
      </c>
      <c r="P2425" s="350"/>
    </row>
    <row r="2426" spans="1:16" ht="14.25" customHeight="1">
      <c r="A2426" s="190"/>
      <c r="C2426" s="193"/>
      <c r="E2426" s="193"/>
      <c r="G2426" s="193"/>
      <c r="O2426" s="339"/>
    </row>
    <row r="2427" spans="1:16" ht="14.25" customHeight="1">
      <c r="A2427" s="190"/>
      <c r="C2427" s="193" t="s">
        <v>75</v>
      </c>
      <c r="E2427" s="193"/>
      <c r="G2427" s="193"/>
      <c r="O2427" s="339"/>
    </row>
    <row r="2428" spans="1:16" ht="14.25" customHeight="1">
      <c r="A2428" s="190"/>
      <c r="B2428" s="191" t="s">
        <v>92</v>
      </c>
      <c r="C2428" s="274">
        <v>317.3</v>
      </c>
      <c r="D2428" s="191" t="s">
        <v>50</v>
      </c>
      <c r="E2428" s="193"/>
      <c r="G2428" s="193"/>
      <c r="O2428" s="339"/>
    </row>
    <row r="2429" spans="1:16" ht="15" customHeight="1">
      <c r="A2429" s="190"/>
      <c r="C2429" s="193"/>
      <c r="E2429" s="193"/>
      <c r="G2429" s="193"/>
      <c r="O2429" s="339"/>
    </row>
    <row r="2430" spans="1:16" ht="14.25" customHeight="1">
      <c r="A2430" s="245" t="s">
        <v>853</v>
      </c>
      <c r="B2430" s="553" t="s">
        <v>854</v>
      </c>
      <c r="C2430" s="550"/>
      <c r="D2430" s="550"/>
      <c r="E2430" s="550"/>
      <c r="F2430" s="550"/>
      <c r="G2430" s="550"/>
      <c r="H2430" s="550"/>
      <c r="I2430" s="550"/>
      <c r="J2430" s="550"/>
      <c r="K2430" s="550"/>
      <c r="L2430" s="550"/>
      <c r="M2430" s="550"/>
      <c r="N2430" s="550"/>
      <c r="O2430" s="252">
        <v>98111</v>
      </c>
      <c r="P2430" s="350"/>
    </row>
    <row r="2431" spans="1:16" ht="14.25" customHeight="1">
      <c r="A2431" s="190"/>
      <c r="C2431" s="193"/>
      <c r="E2431" s="193"/>
      <c r="G2431" s="193"/>
      <c r="O2431" s="339"/>
    </row>
    <row r="2432" spans="1:16" ht="14.25" customHeight="1">
      <c r="A2432" s="190"/>
      <c r="C2432" s="193" t="s">
        <v>87</v>
      </c>
      <c r="E2432" s="193"/>
      <c r="G2432" s="193"/>
      <c r="O2432" s="339"/>
    </row>
    <row r="2433" spans="1:16" ht="14.25" customHeight="1">
      <c r="A2433" s="190"/>
      <c r="B2433" s="191" t="s">
        <v>92</v>
      </c>
      <c r="C2433" s="192">
        <v>12</v>
      </c>
      <c r="D2433" s="191" t="s">
        <v>82</v>
      </c>
      <c r="E2433" s="193"/>
      <c r="G2433" s="193"/>
      <c r="O2433" s="339"/>
    </row>
    <row r="2434" spans="1:16" ht="14.25">
      <c r="A2434" s="190"/>
      <c r="C2434" s="193"/>
      <c r="E2434" s="193"/>
      <c r="G2434" s="193"/>
      <c r="O2434" s="339"/>
    </row>
    <row r="2435" spans="1:16" ht="35.25" customHeight="1">
      <c r="A2435" s="245" t="s">
        <v>855</v>
      </c>
      <c r="B2435" s="544" t="s">
        <v>1054</v>
      </c>
      <c r="C2435" s="544"/>
      <c r="D2435" s="544"/>
      <c r="E2435" s="544"/>
      <c r="F2435" s="544"/>
      <c r="G2435" s="544"/>
      <c r="H2435" s="544"/>
      <c r="I2435" s="544"/>
      <c r="J2435" s="544"/>
      <c r="K2435" s="544"/>
      <c r="L2435" s="544"/>
      <c r="M2435" s="544"/>
      <c r="N2435" s="544"/>
      <c r="O2435" s="252" t="s">
        <v>1055</v>
      </c>
      <c r="P2435" s="350" t="s">
        <v>954</v>
      </c>
    </row>
    <row r="2436" spans="1:16" ht="14.25" customHeight="1">
      <c r="A2436" s="190"/>
      <c r="C2436" s="193"/>
      <c r="E2436" s="193"/>
      <c r="G2436" s="193"/>
      <c r="O2436" s="339"/>
    </row>
    <row r="2437" spans="1:16" ht="15" customHeight="1">
      <c r="A2437" s="190"/>
      <c r="C2437" s="193" t="s">
        <v>87</v>
      </c>
      <c r="E2437" s="193"/>
      <c r="G2437" s="193"/>
      <c r="O2437" s="339"/>
    </row>
    <row r="2438" spans="1:16" ht="14.25" customHeight="1">
      <c r="A2438" s="190"/>
      <c r="B2438" s="191" t="s">
        <v>92</v>
      </c>
      <c r="C2438" s="192">
        <f>C2433</f>
        <v>12</v>
      </c>
      <c r="D2438" s="191" t="s">
        <v>82</v>
      </c>
      <c r="E2438" s="193"/>
      <c r="G2438" s="193"/>
      <c r="O2438" s="339"/>
    </row>
    <row r="2439" spans="1:16" ht="15" customHeight="1">
      <c r="A2439" s="190"/>
      <c r="C2439" s="193"/>
      <c r="E2439" s="193"/>
      <c r="G2439" s="193"/>
      <c r="O2439" s="339"/>
    </row>
    <row r="2440" spans="1:16" ht="36.75" customHeight="1">
      <c r="A2440" s="245" t="s">
        <v>856</v>
      </c>
      <c r="B2440" s="544" t="s">
        <v>1056</v>
      </c>
      <c r="C2440" s="545"/>
      <c r="D2440" s="545"/>
      <c r="E2440" s="545"/>
      <c r="F2440" s="545"/>
      <c r="G2440" s="545"/>
      <c r="H2440" s="545"/>
      <c r="I2440" s="545"/>
      <c r="J2440" s="545"/>
      <c r="K2440" s="545"/>
      <c r="L2440" s="545"/>
      <c r="M2440" s="545"/>
      <c r="N2440" s="545"/>
      <c r="O2440" s="252" t="s">
        <v>1057</v>
      </c>
      <c r="P2440" s="350" t="s">
        <v>970</v>
      </c>
    </row>
    <row r="2441" spans="1:16" ht="14.25" customHeight="1">
      <c r="A2441" s="190"/>
      <c r="C2441" s="193"/>
      <c r="E2441" s="193"/>
      <c r="G2441" s="193"/>
      <c r="O2441" s="339"/>
    </row>
    <row r="2442" spans="1:16" ht="14.25" customHeight="1">
      <c r="A2442" s="190"/>
      <c r="C2442" s="193" t="s">
        <v>87</v>
      </c>
      <c r="E2442" s="193"/>
      <c r="G2442" s="193"/>
      <c r="O2442" s="339"/>
    </row>
    <row r="2443" spans="1:16" ht="14.25" customHeight="1">
      <c r="A2443" s="190"/>
      <c r="B2443" s="191" t="s">
        <v>92</v>
      </c>
      <c r="C2443" s="192">
        <v>89</v>
      </c>
      <c r="D2443" s="191" t="s">
        <v>82</v>
      </c>
      <c r="E2443" s="193"/>
      <c r="G2443" s="193"/>
      <c r="O2443" s="339"/>
    </row>
    <row r="2444" spans="1:16" ht="15" customHeight="1">
      <c r="A2444" s="190"/>
      <c r="C2444" s="193"/>
      <c r="E2444" s="193"/>
      <c r="G2444" s="193"/>
      <c r="O2444" s="339"/>
    </row>
    <row r="2445" spans="1:16" ht="14.25" customHeight="1">
      <c r="A2445" s="245" t="s">
        <v>857</v>
      </c>
      <c r="B2445" s="553" t="s">
        <v>858</v>
      </c>
      <c r="C2445" s="550"/>
      <c r="D2445" s="550"/>
      <c r="E2445" s="550"/>
      <c r="F2445" s="550"/>
      <c r="G2445" s="550"/>
      <c r="H2445" s="550"/>
      <c r="I2445" s="550"/>
      <c r="J2445" s="550"/>
      <c r="K2445" s="550"/>
      <c r="L2445" s="550"/>
      <c r="M2445" s="550"/>
      <c r="N2445" s="550"/>
      <c r="O2445" s="252">
        <v>95818</v>
      </c>
      <c r="P2445" s="350"/>
    </row>
    <row r="2446" spans="1:16" ht="14.25" customHeight="1">
      <c r="A2446" s="190"/>
      <c r="C2446" s="193"/>
      <c r="E2446" s="193"/>
      <c r="G2446" s="193"/>
      <c r="O2446" s="339"/>
    </row>
    <row r="2447" spans="1:16" ht="14.25" customHeight="1">
      <c r="A2447" s="190"/>
      <c r="C2447" s="193" t="s">
        <v>87</v>
      </c>
      <c r="E2447" s="193"/>
      <c r="G2447" s="193"/>
      <c r="O2447" s="339"/>
    </row>
    <row r="2448" spans="1:16" ht="14.25" customHeight="1">
      <c r="A2448" s="190"/>
      <c r="B2448" s="191" t="s">
        <v>92</v>
      </c>
      <c r="C2448" s="192">
        <v>17</v>
      </c>
      <c r="D2448" s="191" t="s">
        <v>82</v>
      </c>
      <c r="E2448" s="193"/>
      <c r="G2448" s="193"/>
      <c r="O2448" s="339"/>
    </row>
    <row r="2449" spans="1:16" ht="15" customHeight="1">
      <c r="A2449" s="190"/>
      <c r="C2449" s="193"/>
      <c r="E2449" s="193"/>
      <c r="G2449" s="193"/>
      <c r="O2449" s="339"/>
    </row>
    <row r="2450" spans="1:16" ht="14.25" customHeight="1">
      <c r="A2450" s="245" t="s">
        <v>859</v>
      </c>
      <c r="B2450" s="553" t="s">
        <v>984</v>
      </c>
      <c r="C2450" s="553"/>
      <c r="D2450" s="553"/>
      <c r="E2450" s="553"/>
      <c r="F2450" s="553"/>
      <c r="G2450" s="553"/>
      <c r="H2450" s="553"/>
      <c r="I2450" s="553"/>
      <c r="J2450" s="553"/>
      <c r="K2450" s="553"/>
      <c r="L2450" s="553"/>
      <c r="M2450" s="553"/>
      <c r="N2450" s="553"/>
      <c r="O2450" s="252" t="s">
        <v>985</v>
      </c>
      <c r="P2450" s="350" t="s">
        <v>970</v>
      </c>
    </row>
    <row r="2451" spans="1:16" ht="14.25" customHeight="1">
      <c r="A2451" s="190"/>
      <c r="C2451" s="193"/>
      <c r="E2451" s="193"/>
      <c r="G2451" s="193"/>
      <c r="O2451" s="339"/>
    </row>
    <row r="2452" spans="1:16" ht="15" customHeight="1">
      <c r="A2452" s="190"/>
      <c r="C2452" s="193" t="s">
        <v>87</v>
      </c>
      <c r="E2452" s="193"/>
      <c r="G2452" s="193"/>
      <c r="O2452" s="339"/>
    </row>
    <row r="2453" spans="1:16" ht="14.25" customHeight="1">
      <c r="A2453" s="190"/>
      <c r="B2453" s="191" t="s">
        <v>92</v>
      </c>
      <c r="C2453" s="192">
        <v>18</v>
      </c>
      <c r="D2453" s="191" t="s">
        <v>82</v>
      </c>
      <c r="E2453" s="193"/>
      <c r="G2453" s="193"/>
      <c r="O2453" s="339"/>
    </row>
    <row r="2454" spans="1:16" ht="15" customHeight="1">
      <c r="A2454" s="190"/>
      <c r="C2454" s="193"/>
      <c r="E2454" s="193"/>
      <c r="G2454" s="193"/>
      <c r="O2454" s="339"/>
    </row>
    <row r="2455" spans="1:16" ht="14.25" customHeight="1">
      <c r="A2455" s="245" t="s">
        <v>860</v>
      </c>
      <c r="B2455" s="553" t="s">
        <v>1000</v>
      </c>
      <c r="C2455" s="553"/>
      <c r="D2455" s="553"/>
      <c r="E2455" s="553"/>
      <c r="F2455" s="553"/>
      <c r="G2455" s="553"/>
      <c r="H2455" s="553"/>
      <c r="I2455" s="553"/>
      <c r="J2455" s="553"/>
      <c r="K2455" s="553"/>
      <c r="L2455" s="553"/>
      <c r="M2455" s="553"/>
      <c r="N2455" s="553"/>
      <c r="O2455" s="252" t="s">
        <v>1001</v>
      </c>
      <c r="P2455" s="350" t="s">
        <v>970</v>
      </c>
    </row>
    <row r="2456" spans="1:16" ht="14.25" customHeight="1">
      <c r="A2456" s="190"/>
      <c r="C2456" s="193"/>
      <c r="E2456" s="193"/>
      <c r="G2456" s="193"/>
      <c r="O2456" s="339"/>
    </row>
    <row r="2457" spans="1:16" ht="14.25" customHeight="1">
      <c r="A2457" s="190"/>
      <c r="C2457" s="193" t="s">
        <v>87</v>
      </c>
      <c r="E2457" s="193"/>
      <c r="G2457" s="193"/>
      <c r="O2457" s="339"/>
    </row>
    <row r="2458" spans="1:16" ht="14.25" customHeight="1">
      <c r="A2458" s="190"/>
      <c r="B2458" s="191" t="s">
        <v>92</v>
      </c>
      <c r="C2458" s="192">
        <f>17+38</f>
        <v>55</v>
      </c>
      <c r="D2458" s="191" t="s">
        <v>82</v>
      </c>
      <c r="E2458" s="193"/>
      <c r="G2458" s="193"/>
      <c r="O2458" s="339"/>
    </row>
    <row r="2459" spans="1:16" ht="15" customHeight="1">
      <c r="A2459" s="190"/>
      <c r="C2459" s="193"/>
      <c r="E2459" s="193"/>
      <c r="G2459" s="193"/>
      <c r="O2459" s="339"/>
    </row>
    <row r="2460" spans="1:16" ht="14.25" customHeight="1">
      <c r="A2460" s="245" t="s">
        <v>861</v>
      </c>
      <c r="B2460" s="553" t="s">
        <v>1002</v>
      </c>
      <c r="C2460" s="553"/>
      <c r="D2460" s="553"/>
      <c r="E2460" s="553"/>
      <c r="F2460" s="553"/>
      <c r="G2460" s="553"/>
      <c r="H2460" s="553"/>
      <c r="I2460" s="553"/>
      <c r="J2460" s="553"/>
      <c r="K2460" s="553"/>
      <c r="L2460" s="553"/>
      <c r="M2460" s="553"/>
      <c r="N2460" s="553"/>
      <c r="O2460" s="252" t="s">
        <v>1003</v>
      </c>
      <c r="P2460" s="350" t="s">
        <v>970</v>
      </c>
    </row>
    <row r="2461" spans="1:16" ht="14.25" customHeight="1">
      <c r="A2461" s="190"/>
      <c r="C2461" s="193"/>
      <c r="E2461" s="193"/>
      <c r="G2461" s="193"/>
      <c r="O2461" s="339"/>
    </row>
    <row r="2462" spans="1:16" ht="14.25" customHeight="1">
      <c r="A2462" s="190"/>
      <c r="C2462" s="193" t="s">
        <v>87</v>
      </c>
      <c r="E2462" s="193"/>
      <c r="G2462" s="193"/>
      <c r="O2462" s="339"/>
    </row>
    <row r="2463" spans="1:16" ht="14.25" customHeight="1">
      <c r="A2463" s="190"/>
      <c r="B2463" s="191" t="s">
        <v>92</v>
      </c>
      <c r="C2463" s="192">
        <v>17</v>
      </c>
      <c r="D2463" s="191" t="s">
        <v>82</v>
      </c>
      <c r="E2463" s="193"/>
      <c r="G2463" s="193"/>
      <c r="O2463" s="339"/>
    </row>
    <row r="2464" spans="1:16" ht="15" customHeight="1">
      <c r="A2464" s="190"/>
      <c r="C2464" s="193"/>
      <c r="E2464" s="193"/>
      <c r="G2464" s="193"/>
      <c r="O2464" s="339"/>
    </row>
    <row r="2465" spans="1:16" ht="14.25" customHeight="1">
      <c r="A2465" s="245" t="s">
        <v>862</v>
      </c>
      <c r="B2465" s="553" t="s">
        <v>1095</v>
      </c>
      <c r="C2465" s="553"/>
      <c r="D2465" s="553"/>
      <c r="E2465" s="553"/>
      <c r="F2465" s="553"/>
      <c r="G2465" s="553"/>
      <c r="H2465" s="553"/>
      <c r="I2465" s="553"/>
      <c r="J2465" s="553"/>
      <c r="K2465" s="553"/>
      <c r="L2465" s="553"/>
      <c r="M2465" s="553"/>
      <c r="N2465" s="553"/>
      <c r="O2465" s="252" t="s">
        <v>1096</v>
      </c>
      <c r="P2465" s="350" t="s">
        <v>1076</v>
      </c>
    </row>
    <row r="2466" spans="1:16" ht="14.25" customHeight="1">
      <c r="A2466" s="190"/>
      <c r="C2466" s="193"/>
      <c r="E2466" s="193"/>
      <c r="G2466" s="193"/>
      <c r="O2466" s="339"/>
    </row>
    <row r="2467" spans="1:16" ht="15" customHeight="1">
      <c r="A2467" s="190"/>
      <c r="C2467" s="193" t="s">
        <v>87</v>
      </c>
      <c r="E2467" s="193"/>
      <c r="G2467" s="193"/>
      <c r="O2467" s="339"/>
    </row>
    <row r="2468" spans="1:16" ht="14.25" customHeight="1">
      <c r="A2468" s="190"/>
      <c r="B2468" s="191" t="s">
        <v>92</v>
      </c>
      <c r="C2468" s="192">
        <v>155</v>
      </c>
      <c r="D2468" s="191" t="s">
        <v>82</v>
      </c>
      <c r="E2468" s="193"/>
      <c r="G2468" s="193"/>
      <c r="O2468" s="339"/>
    </row>
    <row r="2469" spans="1:16" ht="14.25" customHeight="1">
      <c r="A2469" s="190"/>
      <c r="C2469" s="193"/>
      <c r="E2469" s="193"/>
      <c r="G2469" s="193"/>
      <c r="O2469" s="339"/>
    </row>
    <row r="2470" spans="1:16" ht="14.25" customHeight="1">
      <c r="A2470" s="245" t="s">
        <v>863</v>
      </c>
      <c r="B2470" s="553" t="s">
        <v>986</v>
      </c>
      <c r="C2470" s="553"/>
      <c r="D2470" s="553"/>
      <c r="E2470" s="553"/>
      <c r="F2470" s="553"/>
      <c r="G2470" s="553"/>
      <c r="H2470" s="553"/>
      <c r="I2470" s="553"/>
      <c r="J2470" s="553"/>
      <c r="K2470" s="553"/>
      <c r="L2470" s="553"/>
      <c r="M2470" s="553"/>
      <c r="N2470" s="553"/>
      <c r="O2470" s="252" t="s">
        <v>987</v>
      </c>
      <c r="P2470" s="350" t="s">
        <v>970</v>
      </c>
    </row>
    <row r="2471" spans="1:16" ht="14.25" customHeight="1">
      <c r="A2471" s="190"/>
      <c r="C2471" s="193"/>
      <c r="E2471" s="193"/>
      <c r="G2471" s="193"/>
      <c r="O2471" s="339"/>
    </row>
    <row r="2472" spans="1:16" ht="15" customHeight="1">
      <c r="A2472" s="190"/>
      <c r="C2472" s="193" t="s">
        <v>87</v>
      </c>
      <c r="E2472" s="193"/>
      <c r="G2472" s="193"/>
      <c r="O2472" s="339"/>
    </row>
    <row r="2473" spans="1:16" ht="14.25" customHeight="1">
      <c r="A2473" s="190"/>
      <c r="B2473" s="191" t="s">
        <v>92</v>
      </c>
      <c r="C2473" s="192">
        <v>40</v>
      </c>
      <c r="D2473" s="191" t="s">
        <v>82</v>
      </c>
      <c r="E2473" s="193"/>
      <c r="G2473" s="193"/>
      <c r="O2473" s="339"/>
    </row>
    <row r="2474" spans="1:16" ht="14.25" customHeight="1">
      <c r="A2474" s="190"/>
      <c r="C2474" s="193"/>
      <c r="E2474" s="193"/>
      <c r="G2474" s="193"/>
      <c r="O2474" s="339"/>
    </row>
    <row r="2475" spans="1:16" ht="14.25" customHeight="1">
      <c r="A2475" s="245" t="s">
        <v>864</v>
      </c>
      <c r="B2475" s="553" t="s">
        <v>866</v>
      </c>
      <c r="C2475" s="550"/>
      <c r="D2475" s="550"/>
      <c r="E2475" s="550"/>
      <c r="F2475" s="550"/>
      <c r="G2475" s="550"/>
      <c r="H2475" s="550"/>
      <c r="I2475" s="550"/>
      <c r="J2475" s="550"/>
      <c r="K2475" s="550"/>
      <c r="L2475" s="550"/>
      <c r="M2475" s="550"/>
      <c r="N2475" s="550"/>
      <c r="O2475" s="252">
        <v>91872</v>
      </c>
      <c r="P2475" s="350"/>
    </row>
    <row r="2476" spans="1:16" ht="14.25" customHeight="1">
      <c r="A2476" s="190"/>
      <c r="C2476" s="193"/>
      <c r="E2476" s="193"/>
      <c r="G2476" s="193"/>
      <c r="O2476" s="339"/>
    </row>
    <row r="2477" spans="1:16" ht="15" customHeight="1">
      <c r="A2477" s="190"/>
      <c r="C2477" s="193" t="s">
        <v>75</v>
      </c>
      <c r="E2477" s="193"/>
      <c r="G2477" s="193"/>
      <c r="O2477" s="339"/>
    </row>
    <row r="2478" spans="1:16" ht="14.25" customHeight="1">
      <c r="A2478" s="190"/>
      <c r="B2478" s="191" t="s">
        <v>92</v>
      </c>
      <c r="C2478" s="192">
        <v>91.7</v>
      </c>
      <c r="D2478" s="191" t="s">
        <v>50</v>
      </c>
      <c r="E2478" s="193"/>
      <c r="G2478" s="193"/>
      <c r="O2478" s="339"/>
    </row>
    <row r="2479" spans="1:16" ht="15" customHeight="1">
      <c r="A2479" s="190"/>
      <c r="C2479" s="193"/>
      <c r="E2479" s="193"/>
      <c r="G2479" s="193"/>
      <c r="O2479" s="339"/>
    </row>
    <row r="2480" spans="1:16" ht="14.25" customHeight="1">
      <c r="A2480" s="245" t="s">
        <v>865</v>
      </c>
      <c r="B2480" s="553" t="s">
        <v>988</v>
      </c>
      <c r="C2480" s="553"/>
      <c r="D2480" s="553"/>
      <c r="E2480" s="553"/>
      <c r="F2480" s="553"/>
      <c r="G2480" s="553"/>
      <c r="H2480" s="553"/>
      <c r="I2480" s="553"/>
      <c r="J2480" s="553"/>
      <c r="K2480" s="553"/>
      <c r="L2480" s="553"/>
      <c r="M2480" s="553"/>
      <c r="N2480" s="553"/>
      <c r="O2480" s="252" t="s">
        <v>989</v>
      </c>
      <c r="P2480" s="350" t="s">
        <v>970</v>
      </c>
    </row>
    <row r="2481" spans="1:33" ht="14.25" customHeight="1">
      <c r="A2481" s="190"/>
      <c r="C2481" s="193"/>
      <c r="E2481" s="193"/>
      <c r="G2481" s="193"/>
      <c r="O2481" s="339"/>
    </row>
    <row r="2482" spans="1:33" ht="14.25" customHeight="1">
      <c r="A2482" s="190"/>
      <c r="C2482" s="193" t="s">
        <v>75</v>
      </c>
      <c r="E2482" s="193"/>
      <c r="G2482" s="193"/>
      <c r="O2482" s="339"/>
    </row>
    <row r="2483" spans="1:33" ht="14.25" customHeight="1">
      <c r="A2483" s="190"/>
      <c r="B2483" s="191" t="s">
        <v>92</v>
      </c>
      <c r="C2483" s="192">
        <v>79</v>
      </c>
      <c r="D2483" s="191" t="s">
        <v>50</v>
      </c>
      <c r="E2483" s="193"/>
      <c r="G2483" s="193"/>
      <c r="P2483" s="339"/>
    </row>
    <row r="2484" spans="1:33" ht="15" customHeight="1">
      <c r="A2484" s="190"/>
      <c r="C2484" s="193"/>
      <c r="E2484" s="193"/>
      <c r="G2484" s="193"/>
      <c r="P2484" s="339"/>
    </row>
    <row r="2485" spans="1:33" ht="14.25" customHeight="1">
      <c r="A2485" s="188" t="s">
        <v>187</v>
      </c>
      <c r="B2485" s="551" t="s">
        <v>65</v>
      </c>
      <c r="C2485" s="552"/>
      <c r="D2485" s="552"/>
      <c r="E2485" s="552"/>
      <c r="F2485" s="552"/>
      <c r="G2485" s="552"/>
      <c r="H2485" s="552"/>
      <c r="I2485" s="552"/>
      <c r="J2485" s="552"/>
      <c r="K2485" s="552"/>
      <c r="L2485" s="552"/>
      <c r="M2485" s="552"/>
      <c r="N2485" s="552"/>
      <c r="O2485" s="346"/>
      <c r="P2485" s="347"/>
    </row>
    <row r="2486" spans="1:33" ht="14.25" customHeight="1">
      <c r="A2486" s="190"/>
      <c r="C2486" s="193"/>
      <c r="E2486" s="193"/>
      <c r="G2486" s="193"/>
      <c r="O2486" s="339"/>
    </row>
    <row r="2487" spans="1:33" ht="43.5" customHeight="1">
      <c r="A2487" s="245" t="s">
        <v>867</v>
      </c>
      <c r="B2487" s="544" t="s">
        <v>990</v>
      </c>
      <c r="C2487" s="544"/>
      <c r="D2487" s="544"/>
      <c r="E2487" s="544"/>
      <c r="F2487" s="544"/>
      <c r="G2487" s="544"/>
      <c r="H2487" s="544"/>
      <c r="I2487" s="544"/>
      <c r="J2487" s="544"/>
      <c r="K2487" s="544"/>
      <c r="L2487" s="544"/>
      <c r="M2487" s="544"/>
      <c r="N2487" s="544"/>
      <c r="O2487" s="252" t="s">
        <v>991</v>
      </c>
      <c r="P2487" s="189" t="s">
        <v>970</v>
      </c>
    </row>
    <row r="2488" spans="1:33" ht="14.25" customHeight="1">
      <c r="A2488" s="190"/>
      <c r="C2488" s="193"/>
      <c r="E2488" s="193"/>
      <c r="G2488" s="193"/>
      <c r="O2488" s="339"/>
    </row>
    <row r="2489" spans="1:33" ht="14.25" customHeight="1">
      <c r="A2489" s="190"/>
      <c r="C2489" s="193" t="s">
        <v>87</v>
      </c>
      <c r="E2489" s="193"/>
      <c r="G2489" s="193"/>
      <c r="O2489" s="339"/>
      <c r="Q2489" s="129"/>
    </row>
    <row r="2490" spans="1:33" ht="14.25" customHeight="1">
      <c r="A2490" s="190"/>
      <c r="B2490" s="191" t="s">
        <v>92</v>
      </c>
      <c r="C2490" s="192">
        <v>1</v>
      </c>
      <c r="D2490" s="191" t="s">
        <v>82</v>
      </c>
      <c r="E2490" s="193"/>
      <c r="G2490" s="193"/>
      <c r="I2490" s="294"/>
      <c r="P2490" s="339"/>
    </row>
    <row r="2491" spans="1:33" ht="14.25" customHeight="1">
      <c r="A2491" s="190"/>
      <c r="C2491" s="193"/>
      <c r="E2491" s="193"/>
      <c r="G2491" s="193"/>
      <c r="O2491" s="339"/>
    </row>
    <row r="2492" spans="1:33" ht="33.75" customHeight="1">
      <c r="A2492" s="245" t="s">
        <v>868</v>
      </c>
      <c r="B2492" s="544" t="s">
        <v>1091</v>
      </c>
      <c r="C2492" s="550"/>
      <c r="D2492" s="550"/>
      <c r="E2492" s="550"/>
      <c r="F2492" s="550"/>
      <c r="G2492" s="550"/>
      <c r="H2492" s="550"/>
      <c r="I2492" s="550"/>
      <c r="J2492" s="550"/>
      <c r="K2492" s="550"/>
      <c r="L2492" s="550"/>
      <c r="M2492" s="550"/>
      <c r="N2492" s="550"/>
      <c r="O2492" s="387" t="s">
        <v>1092</v>
      </c>
      <c r="P2492" s="252" t="s">
        <v>970</v>
      </c>
    </row>
    <row r="2493" spans="1:33" ht="14.25" customHeight="1">
      <c r="A2493" s="194"/>
      <c r="B2493" s="246"/>
      <c r="C2493" s="246"/>
      <c r="D2493" s="246"/>
      <c r="E2493" s="246"/>
      <c r="F2493" s="246"/>
      <c r="G2493" s="246"/>
      <c r="H2493" s="246"/>
      <c r="I2493" s="246"/>
      <c r="J2493" s="246"/>
      <c r="K2493" s="246"/>
      <c r="L2493" s="246"/>
      <c r="M2493" s="246"/>
      <c r="N2493" s="246"/>
      <c r="O2493" s="252"/>
      <c r="P2493" s="353"/>
    </row>
    <row r="2494" spans="1:33" ht="14.25" customHeight="1">
      <c r="A2494" s="194"/>
      <c r="B2494" s="554" t="s">
        <v>1093</v>
      </c>
      <c r="C2494" s="554"/>
      <c r="D2494" s="554"/>
      <c r="E2494" s="554"/>
      <c r="F2494" s="554"/>
      <c r="G2494" s="554"/>
      <c r="H2494" s="554"/>
      <c r="I2494" s="554"/>
      <c r="J2494" s="554"/>
      <c r="K2494" s="554"/>
      <c r="L2494" s="554"/>
      <c r="M2494" s="554"/>
      <c r="N2494" s="554"/>
      <c r="O2494" s="252"/>
      <c r="P2494" s="353"/>
      <c r="R2494" s="129"/>
      <c r="S2494" s="129"/>
      <c r="T2494" s="129"/>
      <c r="U2494" s="129"/>
      <c r="V2494" s="129"/>
      <c r="W2494" s="129"/>
      <c r="X2494" s="129"/>
      <c r="Y2494" s="129"/>
      <c r="Z2494" s="129"/>
      <c r="AA2494" s="129"/>
      <c r="AB2494" s="129"/>
      <c r="AC2494" s="129"/>
      <c r="AD2494" s="129"/>
      <c r="AE2494" s="129"/>
      <c r="AF2494" s="129"/>
      <c r="AG2494" s="129"/>
    </row>
    <row r="2495" spans="1:33" ht="14.25" customHeight="1">
      <c r="A2495" s="194"/>
      <c r="B2495" s="246"/>
      <c r="C2495" s="246"/>
      <c r="D2495" s="246"/>
      <c r="E2495" s="246"/>
      <c r="F2495" s="246"/>
      <c r="G2495" s="246"/>
      <c r="H2495" s="246"/>
      <c r="I2495" s="246"/>
      <c r="J2495" s="246"/>
      <c r="K2495" s="246"/>
      <c r="L2495" s="246"/>
      <c r="M2495" s="246"/>
      <c r="N2495" s="246"/>
      <c r="O2495" s="252"/>
      <c r="P2495" s="353"/>
    </row>
    <row r="2496" spans="1:33" ht="15" customHeight="1">
      <c r="A2496" s="194"/>
      <c r="B2496" s="246"/>
      <c r="C2496" s="259" t="s">
        <v>75</v>
      </c>
      <c r="D2496" s="246"/>
      <c r="E2496" s="259" t="s">
        <v>480</v>
      </c>
      <c r="F2496" s="246"/>
      <c r="G2496" s="128" t="s">
        <v>101</v>
      </c>
      <c r="I2496" s="328"/>
      <c r="J2496" s="328"/>
      <c r="K2496" s="246"/>
      <c r="L2496" s="246"/>
      <c r="M2496" s="246"/>
      <c r="N2496" s="246"/>
      <c r="O2496" s="252"/>
      <c r="P2496" s="353"/>
    </row>
    <row r="2497" spans="1:17" ht="14.25">
      <c r="A2497" s="190"/>
      <c r="B2497" s="128" t="s">
        <v>101</v>
      </c>
      <c r="C2497" s="193">
        <v>6</v>
      </c>
      <c r="D2497" s="128" t="s">
        <v>78</v>
      </c>
      <c r="E2497" s="193">
        <v>1.48</v>
      </c>
      <c r="F2497" s="328" t="s">
        <v>1094</v>
      </c>
      <c r="G2497" s="328">
        <f>C2497*E2497</f>
        <v>8.879999999999999</v>
      </c>
      <c r="H2497" s="328" t="s">
        <v>102</v>
      </c>
      <c r="I2497" s="328"/>
      <c r="J2497" s="328"/>
      <c r="K2497" s="328"/>
      <c r="L2497" s="328"/>
      <c r="M2497" s="328"/>
      <c r="O2497" s="339"/>
    </row>
    <row r="2498" spans="1:17" ht="15" customHeight="1">
      <c r="A2498" s="190"/>
      <c r="C2498" s="193"/>
      <c r="E2498" s="193"/>
      <c r="F2498" s="328"/>
      <c r="G2498" s="328"/>
      <c r="H2498" s="328"/>
      <c r="I2498" s="328"/>
      <c r="J2498" s="328"/>
      <c r="K2498" s="328"/>
      <c r="L2498" s="328"/>
      <c r="M2498" s="328"/>
      <c r="O2498" s="339"/>
    </row>
    <row r="2499" spans="1:17" ht="15" customHeight="1">
      <c r="A2499" s="190"/>
      <c r="B2499" s="191" t="s">
        <v>92</v>
      </c>
      <c r="C2499" s="192">
        <f>G2497</f>
        <v>8.879999999999999</v>
      </c>
      <c r="D2499" s="191" t="s">
        <v>102</v>
      </c>
      <c r="E2499" s="193"/>
      <c r="F2499" s="328"/>
      <c r="G2499" s="328"/>
      <c r="H2499" s="328"/>
      <c r="I2499" s="328"/>
      <c r="J2499" s="328"/>
      <c r="K2499" s="328"/>
      <c r="L2499" s="328"/>
      <c r="M2499" s="328"/>
      <c r="O2499" s="339"/>
    </row>
    <row r="2500" spans="1:17" ht="15" customHeight="1">
      <c r="A2500" s="190"/>
      <c r="C2500" s="192"/>
      <c r="D2500" s="191"/>
      <c r="E2500" s="193"/>
      <c r="G2500" s="193"/>
      <c r="O2500" s="339"/>
    </row>
    <row r="2501" spans="1:17" ht="14.25" customHeight="1">
      <c r="A2501" s="245" t="s">
        <v>958</v>
      </c>
      <c r="B2501" s="544" t="s">
        <v>992</v>
      </c>
      <c r="C2501" s="550"/>
      <c r="D2501" s="550"/>
      <c r="E2501" s="550"/>
      <c r="F2501" s="550"/>
      <c r="G2501" s="550"/>
      <c r="H2501" s="550"/>
      <c r="I2501" s="550"/>
      <c r="J2501" s="550"/>
      <c r="K2501" s="550"/>
      <c r="L2501" s="550"/>
      <c r="M2501" s="550"/>
      <c r="N2501" s="550"/>
      <c r="O2501" s="387" t="s">
        <v>993</v>
      </c>
      <c r="P2501" s="252" t="s">
        <v>970</v>
      </c>
    </row>
    <row r="2502" spans="1:17" ht="14.25" customHeight="1">
      <c r="A2502" s="194"/>
      <c r="B2502" s="246"/>
      <c r="C2502" s="246"/>
      <c r="D2502" s="246"/>
      <c r="E2502" s="246"/>
      <c r="F2502" s="246"/>
      <c r="G2502" s="246"/>
      <c r="H2502" s="246"/>
      <c r="I2502" s="246"/>
      <c r="J2502" s="246"/>
      <c r="K2502" s="246"/>
      <c r="L2502" s="246"/>
      <c r="M2502" s="246"/>
      <c r="N2502" s="246"/>
      <c r="O2502" s="252"/>
      <c r="P2502" s="353"/>
    </row>
    <row r="2503" spans="1:17" ht="14.25" customHeight="1">
      <c r="A2503" s="194"/>
      <c r="B2503" s="246"/>
      <c r="C2503" s="259" t="s">
        <v>87</v>
      </c>
      <c r="D2503" s="246"/>
      <c r="E2503" s="276"/>
      <c r="F2503" s="246"/>
      <c r="G2503" s="246"/>
      <c r="H2503" s="329"/>
      <c r="I2503" s="246"/>
      <c r="J2503" s="246"/>
      <c r="K2503" s="246"/>
      <c r="L2503" s="246"/>
      <c r="M2503" s="246"/>
      <c r="N2503" s="246"/>
      <c r="O2503" s="252"/>
      <c r="P2503" s="353"/>
    </row>
    <row r="2504" spans="1:17" ht="14.25" customHeight="1">
      <c r="A2504" s="190"/>
      <c r="B2504" s="191" t="s">
        <v>92</v>
      </c>
      <c r="C2504" s="192">
        <v>1</v>
      </c>
      <c r="D2504" s="191" t="s">
        <v>82</v>
      </c>
      <c r="E2504" s="193"/>
      <c r="G2504" s="193"/>
      <c r="O2504" s="339"/>
    </row>
    <row r="2505" spans="1:17" ht="14.25" customHeight="1">
      <c r="A2505" s="190"/>
      <c r="C2505" s="192"/>
      <c r="D2505" s="191"/>
      <c r="E2505" s="193"/>
      <c r="G2505" s="193"/>
      <c r="O2505" s="339"/>
      <c r="Q2505" s="129"/>
    </row>
    <row r="2506" spans="1:17">
      <c r="A2506" s="188" t="s">
        <v>189</v>
      </c>
      <c r="B2506" s="551" t="s">
        <v>869</v>
      </c>
      <c r="C2506" s="552"/>
      <c r="D2506" s="552"/>
      <c r="E2506" s="552"/>
      <c r="F2506" s="552"/>
      <c r="G2506" s="552"/>
      <c r="H2506" s="552"/>
      <c r="I2506" s="552"/>
      <c r="J2506" s="552"/>
      <c r="K2506" s="552"/>
      <c r="L2506" s="552"/>
      <c r="M2506" s="552"/>
      <c r="N2506" s="552"/>
      <c r="O2506" s="346"/>
      <c r="P2506" s="347"/>
    </row>
    <row r="2507" spans="1:17" ht="15" customHeight="1">
      <c r="A2507" s="190"/>
      <c r="C2507" s="193"/>
      <c r="E2507" s="193"/>
      <c r="G2507" s="193"/>
      <c r="O2507" s="339"/>
    </row>
    <row r="2508" spans="1:17" ht="15" customHeight="1">
      <c r="A2508" s="247" t="s">
        <v>1367</v>
      </c>
      <c r="B2508" s="548" t="s">
        <v>784</v>
      </c>
      <c r="C2508" s="548"/>
      <c r="D2508" s="548"/>
      <c r="E2508" s="548"/>
      <c r="F2508" s="548"/>
      <c r="G2508" s="548"/>
      <c r="H2508" s="548"/>
      <c r="I2508" s="548"/>
      <c r="J2508" s="548"/>
      <c r="K2508" s="548"/>
      <c r="L2508" s="548"/>
      <c r="M2508" s="548"/>
      <c r="N2508" s="548"/>
      <c r="O2508" s="378">
        <v>91924</v>
      </c>
      <c r="P2508" s="128"/>
      <c r="Q2508" s="248"/>
    </row>
    <row r="2509" spans="1:17" ht="14.25">
      <c r="A2509" s="190"/>
      <c r="C2509" s="193"/>
      <c r="E2509" s="193"/>
      <c r="G2509" s="193"/>
      <c r="O2509" s="128"/>
      <c r="P2509" s="388"/>
    </row>
    <row r="2510" spans="1:17" ht="14.25">
      <c r="A2510" s="190"/>
      <c r="C2510" s="193" t="s">
        <v>75</v>
      </c>
      <c r="E2510" s="193"/>
      <c r="G2510" s="193"/>
      <c r="O2510" s="128"/>
      <c r="P2510" s="388"/>
    </row>
    <row r="2511" spans="1:17" ht="15" customHeight="1">
      <c r="A2511" s="190"/>
      <c r="B2511" s="191" t="s">
        <v>92</v>
      </c>
      <c r="C2511" s="274">
        <f>3*144.58</f>
        <v>433.74</v>
      </c>
      <c r="D2511" s="191" t="s">
        <v>50</v>
      </c>
      <c r="E2511" s="193"/>
      <c r="G2511" s="193"/>
      <c r="O2511" s="128"/>
      <c r="P2511" s="388"/>
    </row>
    <row r="2512" spans="1:17" ht="14.25">
      <c r="A2512" s="190"/>
      <c r="C2512" s="193"/>
      <c r="E2512" s="193"/>
      <c r="G2512" s="193"/>
      <c r="O2512" s="128"/>
      <c r="P2512" s="388"/>
    </row>
    <row r="2513" spans="1:17" ht="15" customHeight="1">
      <c r="A2513" s="245" t="s">
        <v>190</v>
      </c>
      <c r="B2513" s="544" t="s">
        <v>870</v>
      </c>
      <c r="C2513" s="550"/>
      <c r="D2513" s="550"/>
      <c r="E2513" s="550"/>
      <c r="F2513" s="550"/>
      <c r="G2513" s="550"/>
      <c r="H2513" s="550"/>
      <c r="I2513" s="550"/>
      <c r="J2513" s="550"/>
      <c r="K2513" s="550"/>
      <c r="L2513" s="550"/>
      <c r="M2513" s="550"/>
      <c r="N2513" s="550"/>
      <c r="O2513" s="387">
        <v>103289</v>
      </c>
      <c r="P2513" s="353"/>
    </row>
    <row r="2514" spans="1:17" ht="14.25" customHeight="1">
      <c r="A2514" s="194"/>
      <c r="B2514" s="246"/>
      <c r="C2514" s="246"/>
      <c r="D2514" s="246"/>
      <c r="E2514" s="246"/>
      <c r="F2514" s="246"/>
      <c r="G2514" s="246"/>
      <c r="H2514" s="246"/>
      <c r="I2514" s="246"/>
      <c r="J2514" s="246"/>
      <c r="K2514" s="246"/>
      <c r="L2514" s="246"/>
      <c r="M2514" s="246"/>
      <c r="N2514" s="246"/>
      <c r="O2514" s="252"/>
      <c r="P2514" s="353"/>
    </row>
    <row r="2515" spans="1:17" ht="14.25" customHeight="1">
      <c r="A2515" s="194"/>
      <c r="B2515" s="246"/>
      <c r="C2515" s="259" t="s">
        <v>75</v>
      </c>
      <c r="D2515" s="246"/>
      <c r="E2515" s="246"/>
      <c r="F2515" s="246"/>
      <c r="G2515" s="246"/>
      <c r="H2515" s="246"/>
      <c r="I2515" s="246"/>
      <c r="J2515" s="246"/>
      <c r="K2515" s="246"/>
      <c r="L2515" s="246"/>
      <c r="M2515" s="246"/>
      <c r="N2515" s="246"/>
      <c r="O2515" s="252"/>
      <c r="P2515" s="353"/>
    </row>
    <row r="2516" spans="1:17" ht="14.25" customHeight="1">
      <c r="A2516" s="190"/>
      <c r="B2516" s="191" t="s">
        <v>92</v>
      </c>
      <c r="C2516" s="192">
        <v>144.58000000000001</v>
      </c>
      <c r="D2516" s="191" t="s">
        <v>50</v>
      </c>
      <c r="E2516" s="193"/>
      <c r="G2516" s="193"/>
      <c r="J2516" s="294"/>
      <c r="O2516" s="339"/>
    </row>
    <row r="2517" spans="1:17" ht="15" customHeight="1">
      <c r="A2517" s="190"/>
      <c r="C2517" s="192"/>
      <c r="D2517" s="191"/>
      <c r="E2517" s="193"/>
      <c r="G2517" s="193"/>
      <c r="O2517" s="339"/>
    </row>
    <row r="2518" spans="1:17" ht="15" customHeight="1">
      <c r="A2518" s="245" t="s">
        <v>191</v>
      </c>
      <c r="B2518" s="544" t="s">
        <v>871</v>
      </c>
      <c r="C2518" s="550"/>
      <c r="D2518" s="550"/>
      <c r="E2518" s="550"/>
      <c r="F2518" s="550"/>
      <c r="G2518" s="550"/>
      <c r="H2518" s="550"/>
      <c r="I2518" s="550"/>
      <c r="J2518" s="550"/>
      <c r="K2518" s="550"/>
      <c r="L2518" s="550"/>
      <c r="M2518" s="550"/>
      <c r="N2518" s="550"/>
      <c r="O2518" s="387">
        <v>103290</v>
      </c>
      <c r="P2518" s="353"/>
    </row>
    <row r="2519" spans="1:17" ht="14.25" customHeight="1">
      <c r="A2519" s="194"/>
      <c r="B2519" s="246"/>
      <c r="C2519" s="246"/>
      <c r="D2519" s="246"/>
      <c r="E2519" s="246"/>
      <c r="F2519" s="246"/>
      <c r="G2519" s="246"/>
      <c r="H2519" s="246"/>
      <c r="I2519" s="246"/>
      <c r="J2519" s="246"/>
      <c r="K2519" s="246"/>
      <c r="L2519" s="246"/>
      <c r="M2519" s="246"/>
      <c r="N2519" s="246"/>
      <c r="O2519" s="252"/>
      <c r="P2519" s="353"/>
    </row>
    <row r="2520" spans="1:17" ht="14.25" customHeight="1">
      <c r="A2520" s="194"/>
      <c r="B2520" s="246"/>
      <c r="C2520" s="259" t="s">
        <v>75</v>
      </c>
      <c r="D2520" s="246"/>
      <c r="E2520" s="246"/>
      <c r="F2520" s="246"/>
      <c r="G2520" s="246"/>
      <c r="H2520" s="246"/>
      <c r="I2520" s="246"/>
      <c r="J2520" s="246"/>
      <c r="K2520" s="246"/>
      <c r="L2520" s="246"/>
      <c r="M2520" s="246"/>
      <c r="N2520" s="246"/>
      <c r="O2520" s="252"/>
      <c r="P2520" s="353"/>
    </row>
    <row r="2521" spans="1:17" ht="14.25" customHeight="1">
      <c r="A2521" s="190"/>
      <c r="B2521" s="191" t="s">
        <v>92</v>
      </c>
      <c r="C2521" s="192">
        <v>144.58000000000001</v>
      </c>
      <c r="D2521" s="191" t="s">
        <v>50</v>
      </c>
      <c r="E2521" s="193"/>
      <c r="G2521" s="193"/>
      <c r="H2521" s="294"/>
      <c r="O2521" s="339"/>
    </row>
    <row r="2522" spans="1:17" ht="14.25" customHeight="1">
      <c r="A2522" s="190"/>
      <c r="C2522" s="192"/>
      <c r="D2522" s="191"/>
      <c r="E2522" s="193"/>
      <c r="G2522" s="193"/>
      <c r="O2522" s="339"/>
    </row>
    <row r="2523" spans="1:17" ht="15" customHeight="1">
      <c r="A2523" s="188" t="s">
        <v>192</v>
      </c>
      <c r="B2523" s="551" t="s">
        <v>66</v>
      </c>
      <c r="C2523" s="552"/>
      <c r="D2523" s="552"/>
      <c r="E2523" s="552"/>
      <c r="F2523" s="552"/>
      <c r="G2523" s="552"/>
      <c r="H2523" s="552"/>
      <c r="I2523" s="552"/>
      <c r="J2523" s="552"/>
      <c r="K2523" s="552"/>
      <c r="L2523" s="552"/>
      <c r="M2523" s="552"/>
      <c r="N2523" s="552"/>
      <c r="O2523" s="346"/>
      <c r="P2523" s="347"/>
    </row>
    <row r="2524" spans="1:17" ht="15" customHeight="1">
      <c r="A2524" s="190"/>
      <c r="C2524" s="193"/>
      <c r="E2524" s="193"/>
      <c r="G2524" s="193"/>
      <c r="O2524" s="339"/>
    </row>
    <row r="2525" spans="1:17" ht="14.25" customHeight="1">
      <c r="A2525" s="245" t="s">
        <v>193</v>
      </c>
      <c r="B2525" s="544" t="s">
        <v>387</v>
      </c>
      <c r="C2525" s="550"/>
      <c r="D2525" s="550"/>
      <c r="E2525" s="550"/>
      <c r="F2525" s="550"/>
      <c r="G2525" s="550"/>
      <c r="H2525" s="550"/>
      <c r="I2525" s="550"/>
      <c r="J2525" s="550"/>
      <c r="K2525" s="550"/>
      <c r="L2525" s="550"/>
      <c r="M2525" s="550"/>
      <c r="N2525" s="550"/>
      <c r="O2525" s="252" t="s">
        <v>1058</v>
      </c>
      <c r="P2525" s="350" t="s">
        <v>74</v>
      </c>
    </row>
    <row r="2526" spans="1:17" ht="14.25" customHeight="1">
      <c r="A2526" s="190"/>
      <c r="C2526" s="193"/>
      <c r="E2526" s="193"/>
      <c r="G2526" s="193"/>
      <c r="O2526" s="339"/>
    </row>
    <row r="2527" spans="1:17" ht="14.25" customHeight="1">
      <c r="A2527" s="190"/>
      <c r="B2527" s="191" t="s">
        <v>1191</v>
      </c>
      <c r="C2527" s="128" t="s">
        <v>75</v>
      </c>
      <c r="E2527" s="193" t="s">
        <v>86</v>
      </c>
      <c r="G2527" s="193" t="s">
        <v>87</v>
      </c>
      <c r="I2527" s="193" t="s">
        <v>77</v>
      </c>
      <c r="O2527" s="339"/>
      <c r="Q2527" s="129"/>
    </row>
    <row r="2528" spans="1:17" ht="14.25" customHeight="1">
      <c r="A2528" s="190"/>
      <c r="B2528" s="128" t="s">
        <v>1192</v>
      </c>
      <c r="C2528" s="193">
        <v>3.4</v>
      </c>
      <c r="D2528" s="128" t="s">
        <v>78</v>
      </c>
      <c r="E2528" s="193">
        <v>0.6</v>
      </c>
      <c r="F2528" s="128" t="s">
        <v>78</v>
      </c>
      <c r="G2528" s="193">
        <v>1</v>
      </c>
      <c r="H2528" s="128" t="s">
        <v>95</v>
      </c>
      <c r="I2528" s="193">
        <f>C2528*E2528*G2528</f>
        <v>2.04</v>
      </c>
      <c r="J2528" s="128" t="s">
        <v>42</v>
      </c>
      <c r="O2528" s="339"/>
    </row>
    <row r="2529" spans="1:17" ht="14.25" customHeight="1">
      <c r="A2529" s="190"/>
      <c r="B2529" s="128" t="s">
        <v>1193</v>
      </c>
      <c r="C2529" s="193">
        <v>2.5</v>
      </c>
      <c r="D2529" s="128" t="s">
        <v>78</v>
      </c>
      <c r="E2529" s="193">
        <v>0.6</v>
      </c>
      <c r="F2529" s="128" t="s">
        <v>78</v>
      </c>
      <c r="G2529" s="193">
        <v>1</v>
      </c>
      <c r="H2529" s="128" t="s">
        <v>95</v>
      </c>
      <c r="I2529" s="193">
        <f>C2529*E2529*G2529</f>
        <v>1.5</v>
      </c>
      <c r="J2529" s="128" t="s">
        <v>42</v>
      </c>
      <c r="O2529" s="339"/>
    </row>
    <row r="2530" spans="1:17" ht="14.25" customHeight="1">
      <c r="A2530" s="190"/>
      <c r="B2530" s="128" t="s">
        <v>1194</v>
      </c>
      <c r="C2530" s="128">
        <v>0.88</v>
      </c>
      <c r="D2530" s="128" t="s">
        <v>78</v>
      </c>
      <c r="E2530" s="193">
        <v>0.5</v>
      </c>
      <c r="F2530" s="128" t="s">
        <v>78</v>
      </c>
      <c r="G2530" s="193">
        <v>1</v>
      </c>
      <c r="H2530" s="128" t="s">
        <v>95</v>
      </c>
      <c r="I2530" s="193">
        <f t="shared" ref="I2530:I2561" si="21">C2530*E2530*G2530</f>
        <v>0.44</v>
      </c>
      <c r="J2530" s="128" t="s">
        <v>42</v>
      </c>
      <c r="O2530" s="339"/>
    </row>
    <row r="2531" spans="1:17" ht="15" customHeight="1">
      <c r="A2531" s="190"/>
      <c r="B2531" s="128" t="s">
        <v>1195</v>
      </c>
      <c r="C2531" s="193">
        <v>1.2</v>
      </c>
      <c r="D2531" s="128" t="s">
        <v>78</v>
      </c>
      <c r="E2531" s="193">
        <v>0.7</v>
      </c>
      <c r="F2531" s="128" t="s">
        <v>78</v>
      </c>
      <c r="G2531" s="193">
        <v>1</v>
      </c>
      <c r="H2531" s="128" t="s">
        <v>95</v>
      </c>
      <c r="I2531" s="193">
        <f t="shared" si="21"/>
        <v>0.84</v>
      </c>
      <c r="J2531" s="128" t="s">
        <v>42</v>
      </c>
      <c r="O2531" s="339"/>
      <c r="Q2531" s="353"/>
    </row>
    <row r="2532" spans="1:17" ht="14.25">
      <c r="A2532" s="190"/>
      <c r="B2532" s="128" t="s">
        <v>1196</v>
      </c>
      <c r="C2532" s="193">
        <v>1.88</v>
      </c>
      <c r="D2532" s="128" t="s">
        <v>78</v>
      </c>
      <c r="E2532" s="193">
        <v>0.6</v>
      </c>
      <c r="F2532" s="128" t="s">
        <v>78</v>
      </c>
      <c r="G2532" s="193">
        <v>1</v>
      </c>
      <c r="H2532" s="128" t="s">
        <v>95</v>
      </c>
      <c r="I2532" s="193">
        <f t="shared" ref="I2532" si="22">C2532*E2532*G2532</f>
        <v>1.1279999999999999</v>
      </c>
      <c r="J2532" s="128" t="s">
        <v>42</v>
      </c>
      <c r="O2532" s="339"/>
    </row>
    <row r="2533" spans="1:17" ht="14.25">
      <c r="A2533" s="190"/>
      <c r="B2533" s="128" t="s">
        <v>1197</v>
      </c>
      <c r="C2533" s="193">
        <v>1.58</v>
      </c>
      <c r="D2533" s="128" t="s">
        <v>78</v>
      </c>
      <c r="E2533" s="193">
        <v>0.6</v>
      </c>
      <c r="F2533" s="128" t="s">
        <v>78</v>
      </c>
      <c r="G2533" s="193">
        <v>1</v>
      </c>
      <c r="H2533" s="128" t="s">
        <v>95</v>
      </c>
      <c r="I2533" s="193">
        <f t="shared" si="21"/>
        <v>0.94799999999999995</v>
      </c>
      <c r="J2533" s="128" t="s">
        <v>42</v>
      </c>
      <c r="O2533" s="339"/>
    </row>
    <row r="2534" spans="1:17" ht="14.25" customHeight="1">
      <c r="A2534" s="190"/>
      <c r="B2534" s="128" t="s">
        <v>1198</v>
      </c>
      <c r="C2534" s="193">
        <v>1.6</v>
      </c>
      <c r="D2534" s="128" t="s">
        <v>78</v>
      </c>
      <c r="E2534" s="193">
        <v>0.7</v>
      </c>
      <c r="F2534" s="128" t="s">
        <v>78</v>
      </c>
      <c r="G2534" s="193">
        <v>1</v>
      </c>
      <c r="H2534" s="128" t="s">
        <v>95</v>
      </c>
      <c r="I2534" s="193">
        <f t="shared" ref="I2534" si="23">C2534*E2534*G2534</f>
        <v>1.1199999999999999</v>
      </c>
      <c r="J2534" s="128" t="s">
        <v>42</v>
      </c>
      <c r="K2534" s="193"/>
      <c r="O2534" s="339"/>
    </row>
    <row r="2535" spans="1:17" ht="14.25" customHeight="1">
      <c r="A2535" s="190"/>
      <c r="B2535" s="128" t="s">
        <v>1199</v>
      </c>
      <c r="C2535" s="193">
        <v>1.92</v>
      </c>
      <c r="D2535" s="128" t="s">
        <v>78</v>
      </c>
      <c r="E2535" s="193">
        <v>0.6</v>
      </c>
      <c r="F2535" s="128" t="s">
        <v>78</v>
      </c>
      <c r="G2535" s="193">
        <v>1</v>
      </c>
      <c r="H2535" s="128" t="s">
        <v>95</v>
      </c>
      <c r="I2535" s="193">
        <f t="shared" si="21"/>
        <v>1.1519999999999999</v>
      </c>
      <c r="J2535" s="128" t="s">
        <v>42</v>
      </c>
      <c r="O2535" s="339"/>
    </row>
    <row r="2536" spans="1:17" ht="14.25" customHeight="1">
      <c r="A2536" s="190"/>
      <c r="B2536" s="128" t="s">
        <v>1200</v>
      </c>
      <c r="C2536" s="193">
        <v>3.06</v>
      </c>
      <c r="D2536" s="128" t="s">
        <v>78</v>
      </c>
      <c r="E2536" s="193">
        <v>0.6</v>
      </c>
      <c r="F2536" s="128" t="s">
        <v>78</v>
      </c>
      <c r="G2536" s="193">
        <v>1</v>
      </c>
      <c r="H2536" s="128" t="s">
        <v>95</v>
      </c>
      <c r="I2536" s="193">
        <f t="shared" si="21"/>
        <v>1.8359999999999999</v>
      </c>
      <c r="J2536" s="128" t="s">
        <v>42</v>
      </c>
      <c r="O2536" s="339"/>
    </row>
    <row r="2537" spans="1:17" ht="14.25" customHeight="1">
      <c r="A2537" s="190"/>
      <c r="B2537" s="128" t="s">
        <v>1201</v>
      </c>
      <c r="C2537" s="193">
        <v>2.12</v>
      </c>
      <c r="D2537" s="128" t="s">
        <v>78</v>
      </c>
      <c r="E2537" s="193">
        <v>0.6</v>
      </c>
      <c r="F2537" s="128" t="s">
        <v>78</v>
      </c>
      <c r="G2537" s="193">
        <v>1</v>
      </c>
      <c r="H2537" s="128" t="s">
        <v>95</v>
      </c>
      <c r="I2537" s="193">
        <f t="shared" si="21"/>
        <v>1.272</v>
      </c>
      <c r="J2537" s="128" t="s">
        <v>42</v>
      </c>
      <c r="O2537" s="272"/>
      <c r="P2537" s="128"/>
    </row>
    <row r="2538" spans="1:17" ht="14.25" customHeight="1">
      <c r="A2538" s="190"/>
      <c r="B2538" s="128" t="s">
        <v>1202</v>
      </c>
      <c r="C2538" s="193">
        <v>0.78</v>
      </c>
      <c r="D2538" s="128" t="s">
        <v>78</v>
      </c>
      <c r="E2538" s="193">
        <v>0.16</v>
      </c>
      <c r="F2538" s="128" t="s">
        <v>78</v>
      </c>
      <c r="G2538" s="193">
        <v>1</v>
      </c>
      <c r="H2538" s="128" t="s">
        <v>95</v>
      </c>
      <c r="I2538" s="193">
        <f t="shared" si="21"/>
        <v>0.12480000000000001</v>
      </c>
      <c r="J2538" s="128" t="s">
        <v>42</v>
      </c>
      <c r="O2538" s="272"/>
      <c r="P2538" s="128"/>
    </row>
    <row r="2539" spans="1:17" ht="14.25" customHeight="1">
      <c r="A2539" s="190"/>
      <c r="B2539" s="128" t="s">
        <v>1203</v>
      </c>
      <c r="C2539" s="193">
        <v>1.25</v>
      </c>
      <c r="D2539" s="128" t="s">
        <v>78</v>
      </c>
      <c r="E2539" s="193">
        <v>0.5</v>
      </c>
      <c r="F2539" s="128" t="s">
        <v>78</v>
      </c>
      <c r="G2539" s="193">
        <v>1</v>
      </c>
      <c r="H2539" s="128" t="s">
        <v>95</v>
      </c>
      <c r="I2539" s="193">
        <f t="shared" si="21"/>
        <v>0.625</v>
      </c>
      <c r="J2539" s="128" t="s">
        <v>42</v>
      </c>
      <c r="O2539" s="272"/>
      <c r="P2539" s="128"/>
    </row>
    <row r="2540" spans="1:17" ht="14.25" customHeight="1">
      <c r="A2540" s="190"/>
      <c r="B2540" s="128" t="s">
        <v>1204</v>
      </c>
      <c r="C2540" s="193">
        <v>1</v>
      </c>
      <c r="D2540" s="128" t="s">
        <v>78</v>
      </c>
      <c r="E2540" s="193">
        <v>0.5</v>
      </c>
      <c r="F2540" s="128" t="s">
        <v>78</v>
      </c>
      <c r="G2540" s="193">
        <v>1</v>
      </c>
      <c r="H2540" s="128" t="s">
        <v>95</v>
      </c>
      <c r="I2540" s="193">
        <f t="shared" si="21"/>
        <v>0.5</v>
      </c>
      <c r="J2540" s="128" t="s">
        <v>42</v>
      </c>
      <c r="O2540" s="272"/>
      <c r="P2540" s="128"/>
    </row>
    <row r="2541" spans="1:17" ht="14.25" customHeight="1">
      <c r="A2541" s="190"/>
      <c r="B2541" s="128" t="s">
        <v>1205</v>
      </c>
      <c r="C2541" s="193">
        <v>1.55</v>
      </c>
      <c r="D2541" s="128" t="s">
        <v>78</v>
      </c>
      <c r="E2541" s="193">
        <v>0.5</v>
      </c>
      <c r="F2541" s="128" t="s">
        <v>78</v>
      </c>
      <c r="G2541" s="193">
        <v>1</v>
      </c>
      <c r="H2541" s="128" t="s">
        <v>95</v>
      </c>
      <c r="I2541" s="193">
        <f t="shared" si="21"/>
        <v>0.77500000000000002</v>
      </c>
      <c r="J2541" s="128" t="s">
        <v>42</v>
      </c>
      <c r="O2541" s="339"/>
    </row>
    <row r="2542" spans="1:17" ht="14.25">
      <c r="A2542" s="190"/>
      <c r="B2542" s="128" t="s">
        <v>1206</v>
      </c>
      <c r="C2542" s="250">
        <v>0.85</v>
      </c>
      <c r="D2542" s="128" t="s">
        <v>78</v>
      </c>
      <c r="E2542" s="193">
        <v>0.5</v>
      </c>
      <c r="F2542" s="128" t="s">
        <v>78</v>
      </c>
      <c r="G2542" s="193">
        <v>2</v>
      </c>
      <c r="H2542" s="128" t="s">
        <v>95</v>
      </c>
      <c r="I2542" s="193">
        <f t="shared" si="21"/>
        <v>0.85</v>
      </c>
      <c r="J2542" s="128" t="s">
        <v>42</v>
      </c>
      <c r="O2542" s="339"/>
    </row>
    <row r="2543" spans="1:17" ht="14.25">
      <c r="A2543" s="190"/>
      <c r="B2543" s="128" t="s">
        <v>1207</v>
      </c>
      <c r="C2543" s="193">
        <v>2</v>
      </c>
      <c r="D2543" s="128" t="s">
        <v>78</v>
      </c>
      <c r="E2543" s="193">
        <v>0.55000000000000004</v>
      </c>
      <c r="F2543" s="128" t="s">
        <v>78</v>
      </c>
      <c r="G2543" s="193">
        <v>1</v>
      </c>
      <c r="H2543" s="128" t="s">
        <v>95</v>
      </c>
      <c r="I2543" s="193">
        <f t="shared" si="21"/>
        <v>1.1000000000000001</v>
      </c>
      <c r="J2543" s="128" t="s">
        <v>42</v>
      </c>
      <c r="O2543" s="339"/>
    </row>
    <row r="2544" spans="1:17" ht="14.25">
      <c r="A2544" s="190"/>
      <c r="B2544" s="128" t="s">
        <v>1208</v>
      </c>
      <c r="C2544" s="193">
        <v>1.38</v>
      </c>
      <c r="D2544" s="128" t="s">
        <v>78</v>
      </c>
      <c r="E2544" s="193">
        <v>0.7</v>
      </c>
      <c r="F2544" s="128" t="s">
        <v>78</v>
      </c>
      <c r="G2544" s="193">
        <v>1</v>
      </c>
      <c r="H2544" s="128" t="s">
        <v>95</v>
      </c>
      <c r="I2544" s="193">
        <f>C2544*E2544*G2544</f>
        <v>0.96599999999999986</v>
      </c>
      <c r="J2544" s="128" t="s">
        <v>42</v>
      </c>
      <c r="O2544" s="339"/>
    </row>
    <row r="2545" spans="1:17" ht="14.25">
      <c r="A2545" s="190"/>
      <c r="B2545" s="128" t="s">
        <v>1209</v>
      </c>
      <c r="C2545" s="193">
        <v>2.1</v>
      </c>
      <c r="D2545" s="128" t="s">
        <v>78</v>
      </c>
      <c r="E2545" s="193">
        <v>0.7</v>
      </c>
      <c r="F2545" s="128" t="s">
        <v>78</v>
      </c>
      <c r="G2545" s="193">
        <v>1</v>
      </c>
      <c r="H2545" s="128" t="s">
        <v>95</v>
      </c>
      <c r="I2545" s="193">
        <f>C2545*E2545*G2545</f>
        <v>1.47</v>
      </c>
      <c r="J2545" s="128" t="s">
        <v>42</v>
      </c>
      <c r="O2545" s="339"/>
    </row>
    <row r="2546" spans="1:17" ht="14.25" customHeight="1">
      <c r="A2546" s="190"/>
      <c r="B2546" s="128" t="s">
        <v>1210</v>
      </c>
      <c r="C2546" s="193">
        <v>1</v>
      </c>
      <c r="D2546" s="128" t="s">
        <v>78</v>
      </c>
      <c r="E2546" s="193">
        <v>0.5</v>
      </c>
      <c r="F2546" s="128" t="s">
        <v>78</v>
      </c>
      <c r="G2546" s="193">
        <v>2</v>
      </c>
      <c r="H2546" s="128" t="s">
        <v>95</v>
      </c>
      <c r="I2546" s="193">
        <f>C2546*E2546*G2546</f>
        <v>1</v>
      </c>
      <c r="J2546" s="128" t="s">
        <v>42</v>
      </c>
      <c r="O2546" s="339"/>
    </row>
    <row r="2547" spans="1:17" ht="14.25" customHeight="1">
      <c r="A2547" s="190"/>
      <c r="B2547" s="128" t="s">
        <v>1211</v>
      </c>
      <c r="C2547" s="250">
        <v>1.57</v>
      </c>
      <c r="D2547" s="128" t="s">
        <v>78</v>
      </c>
      <c r="E2547" s="193">
        <v>0.55000000000000004</v>
      </c>
      <c r="F2547" s="128" t="s">
        <v>78</v>
      </c>
      <c r="G2547" s="193">
        <v>2</v>
      </c>
      <c r="H2547" s="128" t="s">
        <v>95</v>
      </c>
      <c r="I2547" s="193">
        <f t="shared" si="21"/>
        <v>1.7270000000000003</v>
      </c>
      <c r="J2547" s="128" t="s">
        <v>42</v>
      </c>
      <c r="O2547" s="339"/>
    </row>
    <row r="2548" spans="1:17" ht="14.25" customHeight="1">
      <c r="A2548" s="190"/>
      <c r="C2548" s="193"/>
      <c r="E2548" s="193"/>
      <c r="G2548" s="193"/>
      <c r="O2548" s="339"/>
    </row>
    <row r="2549" spans="1:17" ht="14.25" customHeight="1">
      <c r="A2549" s="190"/>
      <c r="B2549" s="128" t="s">
        <v>221</v>
      </c>
      <c r="C2549" s="193">
        <f>SUM(I2528:I2547)</f>
        <v>21.413800000000002</v>
      </c>
      <c r="D2549" s="128" t="s">
        <v>42</v>
      </c>
      <c r="E2549" s="193"/>
      <c r="G2549" s="193"/>
      <c r="O2549" s="339"/>
    </row>
    <row r="2550" spans="1:17" ht="14.25" customHeight="1">
      <c r="A2550" s="190"/>
      <c r="B2550" s="191"/>
      <c r="C2550" s="192"/>
      <c r="D2550" s="191"/>
      <c r="E2550" s="193"/>
      <c r="G2550" s="193"/>
      <c r="O2550" s="339"/>
    </row>
    <row r="2551" spans="1:17" ht="14.25" customHeight="1">
      <c r="A2551" s="190"/>
      <c r="B2551" s="191" t="s">
        <v>1212</v>
      </c>
      <c r="C2551" s="128" t="s">
        <v>75</v>
      </c>
      <c r="E2551" s="193" t="s">
        <v>86</v>
      </c>
      <c r="G2551" s="193" t="s">
        <v>87</v>
      </c>
      <c r="I2551" s="193" t="s">
        <v>77</v>
      </c>
      <c r="O2551" s="339"/>
      <c r="Q2551" s="129"/>
    </row>
    <row r="2552" spans="1:17" ht="14.25" customHeight="1">
      <c r="A2552" s="190"/>
      <c r="B2552" s="258" t="s">
        <v>1218</v>
      </c>
      <c r="C2552" s="193">
        <v>1.8</v>
      </c>
      <c r="D2552" s="128" t="s">
        <v>78</v>
      </c>
      <c r="E2552" s="193">
        <v>0.4</v>
      </c>
      <c r="F2552" s="128" t="s">
        <v>78</v>
      </c>
      <c r="G2552" s="193">
        <v>4</v>
      </c>
      <c r="H2552" s="128" t="s">
        <v>95</v>
      </c>
      <c r="I2552" s="193">
        <f t="shared" si="21"/>
        <v>2.8800000000000003</v>
      </c>
      <c r="J2552" s="128" t="s">
        <v>42</v>
      </c>
      <c r="O2552" s="339"/>
    </row>
    <row r="2553" spans="1:17" ht="14.25" customHeight="1">
      <c r="A2553" s="190"/>
      <c r="B2553" s="258" t="s">
        <v>1219</v>
      </c>
      <c r="C2553" s="250">
        <v>1.26</v>
      </c>
      <c r="D2553" s="128" t="s">
        <v>78</v>
      </c>
      <c r="E2553" s="193">
        <v>0.4</v>
      </c>
      <c r="F2553" s="128" t="s">
        <v>78</v>
      </c>
      <c r="G2553" s="193">
        <v>4</v>
      </c>
      <c r="H2553" s="128" t="s">
        <v>95</v>
      </c>
      <c r="I2553" s="193">
        <f t="shared" si="21"/>
        <v>2.016</v>
      </c>
      <c r="J2553" s="128" t="s">
        <v>42</v>
      </c>
      <c r="O2553" s="339"/>
    </row>
    <row r="2554" spans="1:17" ht="14.25" customHeight="1">
      <c r="A2554" s="190"/>
      <c r="B2554" s="258" t="s">
        <v>1220</v>
      </c>
      <c r="C2554" s="193">
        <v>1.7</v>
      </c>
      <c r="D2554" s="128" t="s">
        <v>78</v>
      </c>
      <c r="E2554" s="193">
        <v>0.4</v>
      </c>
      <c r="F2554" s="128" t="s">
        <v>78</v>
      </c>
      <c r="G2554" s="193">
        <v>6</v>
      </c>
      <c r="H2554" s="128" t="s">
        <v>95</v>
      </c>
      <c r="I2554" s="193">
        <f t="shared" si="21"/>
        <v>4.08</v>
      </c>
      <c r="J2554" s="128" t="s">
        <v>42</v>
      </c>
      <c r="O2554" s="339"/>
    </row>
    <row r="2555" spans="1:17" ht="14.25" customHeight="1">
      <c r="A2555" s="190"/>
      <c r="B2555" s="258" t="s">
        <v>1221</v>
      </c>
      <c r="C2555" s="193">
        <v>2.2999999999999998</v>
      </c>
      <c r="D2555" s="128" t="s">
        <v>78</v>
      </c>
      <c r="E2555" s="193">
        <v>0.6</v>
      </c>
      <c r="F2555" s="128" t="s">
        <v>78</v>
      </c>
      <c r="G2555" s="193">
        <v>4</v>
      </c>
      <c r="H2555" s="128" t="s">
        <v>95</v>
      </c>
      <c r="I2555" s="193">
        <f t="shared" ref="I2555" si="24">C2555*E2555*G2555</f>
        <v>5.52</v>
      </c>
      <c r="J2555" s="128" t="s">
        <v>42</v>
      </c>
      <c r="O2555" s="339"/>
    </row>
    <row r="2556" spans="1:17" ht="14.25" customHeight="1">
      <c r="A2556" s="190"/>
      <c r="B2556" s="258" t="s">
        <v>1222</v>
      </c>
      <c r="C2556" s="193">
        <v>1.7</v>
      </c>
      <c r="D2556" s="128" t="s">
        <v>78</v>
      </c>
      <c r="E2556" s="193">
        <v>0.4</v>
      </c>
      <c r="F2556" s="128" t="s">
        <v>78</v>
      </c>
      <c r="G2556" s="193">
        <v>8</v>
      </c>
      <c r="H2556" s="128" t="s">
        <v>95</v>
      </c>
      <c r="I2556" s="193">
        <f t="shared" si="21"/>
        <v>5.44</v>
      </c>
      <c r="J2556" s="128" t="s">
        <v>42</v>
      </c>
      <c r="O2556" s="339"/>
    </row>
    <row r="2557" spans="1:17" ht="14.25" customHeight="1">
      <c r="A2557" s="190"/>
      <c r="B2557" s="258" t="s">
        <v>1223</v>
      </c>
      <c r="C2557" s="193">
        <v>2.2400000000000002</v>
      </c>
      <c r="D2557" s="128" t="s">
        <v>78</v>
      </c>
      <c r="E2557" s="193">
        <v>0.4</v>
      </c>
      <c r="F2557" s="128" t="s">
        <v>78</v>
      </c>
      <c r="G2557" s="193">
        <v>4</v>
      </c>
      <c r="H2557" s="128" t="s">
        <v>95</v>
      </c>
      <c r="I2557" s="193">
        <f t="shared" ref="I2557" si="25">C2557*E2557*G2557</f>
        <v>3.5840000000000005</v>
      </c>
      <c r="J2557" s="128" t="s">
        <v>42</v>
      </c>
      <c r="O2557" s="339"/>
    </row>
    <row r="2558" spans="1:17" ht="14.25" customHeight="1">
      <c r="A2558" s="190"/>
      <c r="B2558" s="258" t="s">
        <v>1224</v>
      </c>
      <c r="C2558" s="193">
        <v>3.06</v>
      </c>
      <c r="D2558" s="128" t="s">
        <v>78</v>
      </c>
      <c r="E2558" s="193">
        <v>0.4</v>
      </c>
      <c r="F2558" s="128" t="s">
        <v>78</v>
      </c>
      <c r="G2558" s="193">
        <v>1</v>
      </c>
      <c r="H2558" s="128" t="s">
        <v>95</v>
      </c>
      <c r="I2558" s="193">
        <f t="shared" ref="I2558" si="26">C2558*E2558*G2558</f>
        <v>1.2240000000000002</v>
      </c>
      <c r="J2558" s="128" t="s">
        <v>42</v>
      </c>
      <c r="O2558" s="339"/>
    </row>
    <row r="2559" spans="1:17" ht="14.25" customHeight="1">
      <c r="A2559" s="190"/>
      <c r="B2559" s="258" t="s">
        <v>1225</v>
      </c>
      <c r="C2559" s="193">
        <v>2.5</v>
      </c>
      <c r="D2559" s="128" t="s">
        <v>78</v>
      </c>
      <c r="E2559" s="193">
        <v>0.6</v>
      </c>
      <c r="F2559" s="128" t="s">
        <v>78</v>
      </c>
      <c r="G2559" s="193">
        <v>1</v>
      </c>
      <c r="H2559" s="128" t="s">
        <v>95</v>
      </c>
      <c r="I2559" s="193">
        <f t="shared" ref="I2559" si="27">C2559*E2559*G2559</f>
        <v>1.5</v>
      </c>
      <c r="J2559" s="128" t="s">
        <v>42</v>
      </c>
      <c r="O2559" s="339"/>
    </row>
    <row r="2560" spans="1:17" ht="14.25" customHeight="1">
      <c r="A2560" s="190"/>
      <c r="B2560" s="258" t="s">
        <v>1226</v>
      </c>
      <c r="C2560" s="193">
        <v>2.58</v>
      </c>
      <c r="D2560" s="128" t="s">
        <v>78</v>
      </c>
      <c r="E2560" s="193">
        <v>0.3</v>
      </c>
      <c r="F2560" s="128" t="s">
        <v>78</v>
      </c>
      <c r="G2560" s="193">
        <v>2</v>
      </c>
      <c r="H2560" s="128" t="s">
        <v>95</v>
      </c>
      <c r="I2560" s="193">
        <f t="shared" si="21"/>
        <v>1.548</v>
      </c>
      <c r="J2560" s="128" t="s">
        <v>42</v>
      </c>
      <c r="O2560" s="339"/>
    </row>
    <row r="2561" spans="1:16" ht="14.25" customHeight="1">
      <c r="A2561" s="190"/>
      <c r="B2561" s="258" t="s">
        <v>1227</v>
      </c>
      <c r="C2561" s="193">
        <v>2.6</v>
      </c>
      <c r="D2561" s="128" t="s">
        <v>78</v>
      </c>
      <c r="E2561" s="193">
        <v>0.3</v>
      </c>
      <c r="F2561" s="128" t="s">
        <v>78</v>
      </c>
      <c r="G2561" s="193">
        <v>6</v>
      </c>
      <c r="H2561" s="128" t="s">
        <v>95</v>
      </c>
      <c r="I2561" s="193">
        <f t="shared" si="21"/>
        <v>4.68</v>
      </c>
      <c r="J2561" s="128" t="s">
        <v>42</v>
      </c>
      <c r="O2561" s="339"/>
    </row>
    <row r="2562" spans="1:16" ht="14.25" customHeight="1">
      <c r="A2562" s="190"/>
      <c r="E2562" s="193"/>
      <c r="G2562" s="193"/>
      <c r="I2562" s="193"/>
      <c r="O2562" s="339"/>
    </row>
    <row r="2563" spans="1:16" ht="14.25" customHeight="1">
      <c r="A2563" s="190"/>
      <c r="B2563" s="128" t="s">
        <v>221</v>
      </c>
      <c r="C2563" s="193">
        <f>SUM(I2552:I2561)</f>
        <v>32.472000000000001</v>
      </c>
      <c r="D2563" s="128" t="s">
        <v>42</v>
      </c>
      <c r="E2563" s="193"/>
      <c r="G2563" s="193"/>
      <c r="O2563" s="339"/>
    </row>
    <row r="2564" spans="1:16" ht="14.25" customHeight="1">
      <c r="A2564" s="190"/>
      <c r="B2564" s="191"/>
      <c r="C2564" s="192"/>
      <c r="D2564" s="191"/>
      <c r="E2564" s="193"/>
      <c r="G2564" s="193"/>
      <c r="O2564" s="339"/>
    </row>
    <row r="2565" spans="1:16" ht="14.25" customHeight="1">
      <c r="A2565" s="190"/>
      <c r="B2565" s="191" t="s">
        <v>1215</v>
      </c>
      <c r="C2565" s="193" t="s">
        <v>75</v>
      </c>
      <c r="E2565" s="193" t="s">
        <v>86</v>
      </c>
      <c r="G2565" s="193" t="s">
        <v>87</v>
      </c>
      <c r="I2565" s="128" t="s">
        <v>77</v>
      </c>
      <c r="O2565" s="339"/>
    </row>
    <row r="2566" spans="1:16" ht="14.25" customHeight="1">
      <c r="A2566" s="190"/>
      <c r="B2566" s="128" t="s">
        <v>1216</v>
      </c>
      <c r="C2566" s="193">
        <v>2.2799999999999998</v>
      </c>
      <c r="D2566" s="128" t="s">
        <v>78</v>
      </c>
      <c r="E2566" s="193">
        <v>0.4</v>
      </c>
      <c r="F2566" s="128" t="s">
        <v>78</v>
      </c>
      <c r="G2566" s="193">
        <v>2</v>
      </c>
      <c r="H2566" s="128" t="s">
        <v>95</v>
      </c>
      <c r="I2566" s="193">
        <f>C2566*E2566*G2566</f>
        <v>1.8239999999999998</v>
      </c>
      <c r="J2566" s="128" t="s">
        <v>42</v>
      </c>
      <c r="O2566" s="339"/>
    </row>
    <row r="2567" spans="1:16" ht="14.25" customHeight="1">
      <c r="A2567" s="190"/>
      <c r="B2567" s="128" t="s">
        <v>1217</v>
      </c>
      <c r="C2567" s="193">
        <v>1.6</v>
      </c>
      <c r="D2567" s="128" t="s">
        <v>78</v>
      </c>
      <c r="E2567" s="193">
        <v>0.4</v>
      </c>
      <c r="F2567" s="128" t="s">
        <v>78</v>
      </c>
      <c r="G2567" s="193">
        <v>1</v>
      </c>
      <c r="H2567" s="128" t="s">
        <v>95</v>
      </c>
      <c r="I2567" s="193">
        <f>C2567*E2567*G2567</f>
        <v>0.64000000000000012</v>
      </c>
      <c r="J2567" s="128" t="s">
        <v>42</v>
      </c>
      <c r="O2567" s="339"/>
    </row>
    <row r="2568" spans="1:16" ht="14.25" customHeight="1">
      <c r="A2568" s="190"/>
      <c r="E2568" s="193"/>
      <c r="G2568" s="193"/>
      <c r="I2568" s="193"/>
      <c r="O2568" s="339"/>
    </row>
    <row r="2569" spans="1:16" ht="14.25" customHeight="1">
      <c r="A2569" s="190"/>
      <c r="B2569" s="128" t="s">
        <v>221</v>
      </c>
      <c r="C2569" s="193">
        <f>SUM(I2566:I2567)</f>
        <v>2.464</v>
      </c>
      <c r="D2569" s="128" t="s">
        <v>42</v>
      </c>
      <c r="E2569" s="193"/>
      <c r="G2569" s="193"/>
      <c r="O2569" s="339"/>
    </row>
    <row r="2570" spans="1:16" ht="14.25" customHeight="1">
      <c r="A2570" s="190"/>
      <c r="C2570" s="193"/>
      <c r="E2570" s="193"/>
      <c r="G2570" s="193"/>
      <c r="O2570" s="339"/>
    </row>
    <row r="2571" spans="1:16" ht="14.25" customHeight="1">
      <c r="A2571" s="290"/>
      <c r="B2571" s="191" t="s">
        <v>92</v>
      </c>
      <c r="C2571" s="192">
        <f>C2549+C2563+C2569</f>
        <v>56.349800000000002</v>
      </c>
      <c r="D2571" s="191" t="s">
        <v>42</v>
      </c>
      <c r="E2571" s="192"/>
      <c r="F2571" s="191"/>
      <c r="G2571" s="192"/>
      <c r="H2571" s="191"/>
      <c r="I2571" s="191"/>
      <c r="J2571" s="191"/>
      <c r="K2571" s="191"/>
      <c r="L2571" s="191"/>
      <c r="M2571" s="191"/>
      <c r="N2571" s="191"/>
      <c r="O2571" s="351"/>
      <c r="P2571" s="273"/>
    </row>
    <row r="2572" spans="1:16" ht="14.25" customHeight="1">
      <c r="A2572" s="190"/>
      <c r="B2572" s="191"/>
      <c r="C2572" s="192"/>
      <c r="D2572" s="191"/>
      <c r="E2572" s="193"/>
      <c r="G2572" s="193"/>
      <c r="O2572" s="339"/>
    </row>
    <row r="2573" spans="1:16" ht="14.25" customHeight="1">
      <c r="A2573" s="245" t="s">
        <v>194</v>
      </c>
      <c r="B2573" s="544" t="s">
        <v>1171</v>
      </c>
      <c r="C2573" s="544"/>
      <c r="D2573" s="544"/>
      <c r="E2573" s="544"/>
      <c r="F2573" s="544"/>
      <c r="G2573" s="544"/>
      <c r="H2573" s="544"/>
      <c r="I2573" s="544"/>
      <c r="J2573" s="544"/>
      <c r="K2573" s="544"/>
      <c r="L2573" s="544"/>
      <c r="M2573" s="544"/>
      <c r="N2573" s="544"/>
      <c r="O2573" s="252">
        <v>101965</v>
      </c>
      <c r="P2573" s="350"/>
    </row>
    <row r="2574" spans="1:16" ht="14.25" customHeight="1">
      <c r="A2574" s="194"/>
      <c r="B2574" s="246"/>
      <c r="C2574" s="246"/>
      <c r="D2574" s="246"/>
      <c r="E2574" s="246"/>
      <c r="F2574" s="246"/>
      <c r="G2574" s="246"/>
      <c r="H2574" s="246"/>
      <c r="I2574" s="246"/>
      <c r="J2574" s="246"/>
      <c r="K2574" s="246"/>
      <c r="L2574" s="246"/>
      <c r="M2574" s="246"/>
      <c r="N2574" s="246"/>
      <c r="O2574" s="252"/>
      <c r="P2574" s="350"/>
    </row>
    <row r="2575" spans="1:16" ht="14.25" customHeight="1">
      <c r="A2575" s="194"/>
      <c r="B2575" s="194"/>
      <c r="C2575" s="193" t="s">
        <v>75</v>
      </c>
      <c r="E2575" s="193" t="s">
        <v>87</v>
      </c>
      <c r="G2575" s="193" t="s">
        <v>75</v>
      </c>
      <c r="H2575" s="194"/>
      <c r="I2575" s="194"/>
      <c r="J2575" s="194"/>
      <c r="K2575" s="194"/>
      <c r="L2575" s="194"/>
      <c r="M2575" s="194"/>
      <c r="N2575" s="194"/>
      <c r="O2575" s="257"/>
      <c r="P2575" s="353"/>
    </row>
    <row r="2576" spans="1:16" s="191" customFormat="1" ht="14.25" customHeight="1">
      <c r="A2576" s="291"/>
      <c r="B2576" s="264" t="s">
        <v>1172</v>
      </c>
      <c r="C2576" s="292">
        <v>1.71</v>
      </c>
      <c r="D2576" s="264" t="s">
        <v>78</v>
      </c>
      <c r="E2576" s="193">
        <v>3</v>
      </c>
      <c r="F2576" s="264" t="s">
        <v>95</v>
      </c>
      <c r="G2576" s="193">
        <f>C2576*E2576</f>
        <v>5.13</v>
      </c>
      <c r="H2576" s="264" t="s">
        <v>50</v>
      </c>
      <c r="I2576" s="291"/>
      <c r="J2576" s="291"/>
      <c r="K2576" s="291"/>
      <c r="L2576" s="291"/>
      <c r="M2576" s="291"/>
      <c r="N2576" s="291"/>
      <c r="O2576" s="391"/>
      <c r="P2576" s="391"/>
    </row>
    <row r="2577" spans="1:17" ht="15" customHeight="1">
      <c r="A2577" s="190"/>
      <c r="O2577" s="339"/>
      <c r="Q2577" s="353"/>
    </row>
    <row r="2578" spans="1:17" ht="14.25" customHeight="1">
      <c r="A2578" s="190"/>
      <c r="B2578" s="191" t="s">
        <v>92</v>
      </c>
      <c r="C2578" s="192">
        <f>SUM(G2576:G2576)</f>
        <v>5.13</v>
      </c>
      <c r="D2578" s="191" t="s">
        <v>50</v>
      </c>
      <c r="O2578" s="339"/>
    </row>
    <row r="2579" spans="1:17" s="293" customFormat="1" ht="14.25" customHeight="1">
      <c r="A2579" s="190"/>
      <c r="B2579" s="128"/>
      <c r="C2579" s="193"/>
      <c r="D2579" s="128"/>
      <c r="E2579" s="193"/>
      <c r="F2579" s="128"/>
      <c r="G2579" s="193"/>
      <c r="H2579" s="128"/>
      <c r="I2579" s="128"/>
      <c r="J2579" s="128"/>
      <c r="K2579" s="128"/>
      <c r="L2579" s="128"/>
      <c r="M2579" s="128"/>
      <c r="N2579" s="128"/>
      <c r="O2579" s="339"/>
      <c r="P2579" s="189"/>
    </row>
    <row r="2580" spans="1:17" ht="14.25" customHeight="1">
      <c r="A2580" s="245" t="s">
        <v>195</v>
      </c>
      <c r="B2580" s="544" t="s">
        <v>385</v>
      </c>
      <c r="C2580" s="544"/>
      <c r="D2580" s="544"/>
      <c r="E2580" s="544"/>
      <c r="F2580" s="544"/>
      <c r="G2580" s="544"/>
      <c r="H2580" s="544"/>
      <c r="I2580" s="544"/>
      <c r="J2580" s="544"/>
      <c r="K2580" s="544"/>
      <c r="L2580" s="544"/>
      <c r="M2580" s="544"/>
      <c r="N2580" s="544"/>
      <c r="O2580" s="252" t="s">
        <v>1059</v>
      </c>
      <c r="P2580" s="350" t="s">
        <v>74</v>
      </c>
    </row>
    <row r="2581" spans="1:17" ht="14.25" customHeight="1">
      <c r="A2581" s="194"/>
      <c r="B2581" s="246"/>
      <c r="C2581" s="246"/>
      <c r="D2581" s="246"/>
      <c r="E2581" s="246"/>
      <c r="F2581" s="246"/>
      <c r="G2581" s="246"/>
      <c r="H2581" s="246"/>
      <c r="I2581" s="246"/>
      <c r="J2581" s="246"/>
      <c r="K2581" s="246"/>
      <c r="L2581" s="246"/>
      <c r="M2581" s="246"/>
      <c r="N2581" s="246"/>
      <c r="O2581" s="252"/>
      <c r="P2581" s="350"/>
    </row>
    <row r="2582" spans="1:17" ht="14.25" customHeight="1">
      <c r="A2582" s="194"/>
      <c r="B2582" s="194"/>
      <c r="C2582" s="193" t="s">
        <v>75</v>
      </c>
      <c r="E2582" s="193" t="s">
        <v>87</v>
      </c>
      <c r="G2582" s="193" t="s">
        <v>75</v>
      </c>
      <c r="H2582" s="194"/>
      <c r="I2582" s="194"/>
      <c r="J2582" s="194"/>
      <c r="K2582" s="194"/>
      <c r="L2582" s="194"/>
      <c r="M2582" s="194"/>
      <c r="N2582" s="194"/>
      <c r="O2582" s="257"/>
      <c r="P2582" s="353"/>
    </row>
    <row r="2583" spans="1:17" ht="14.25" customHeight="1">
      <c r="A2583" s="291"/>
      <c r="B2583" s="264" t="s">
        <v>1213</v>
      </c>
      <c r="C2583" s="300">
        <v>1.95</v>
      </c>
      <c r="D2583" s="264" t="s">
        <v>78</v>
      </c>
      <c r="E2583" s="193">
        <v>2</v>
      </c>
      <c r="F2583" s="264" t="s">
        <v>95</v>
      </c>
      <c r="G2583" s="193">
        <f>C2583*E2583</f>
        <v>3.9</v>
      </c>
      <c r="H2583" s="264" t="s">
        <v>50</v>
      </c>
      <c r="I2583" s="291"/>
      <c r="J2583" s="291"/>
      <c r="K2583" s="291"/>
      <c r="L2583" s="291"/>
      <c r="M2583" s="291"/>
      <c r="N2583" s="291"/>
      <c r="O2583" s="391"/>
      <c r="P2583" s="391"/>
    </row>
    <row r="2584" spans="1:17" s="191" customFormat="1" ht="14.25" customHeight="1">
      <c r="A2584" s="291"/>
      <c r="B2584" s="264" t="s">
        <v>1214</v>
      </c>
      <c r="C2584" s="292">
        <v>2.6</v>
      </c>
      <c r="D2584" s="264" t="s">
        <v>78</v>
      </c>
      <c r="E2584" s="193">
        <v>1</v>
      </c>
      <c r="F2584" s="264" t="s">
        <v>95</v>
      </c>
      <c r="G2584" s="193">
        <f>C2584*E2584</f>
        <v>2.6</v>
      </c>
      <c r="H2584" s="264" t="s">
        <v>50</v>
      </c>
      <c r="I2584" s="291"/>
      <c r="J2584" s="291"/>
      <c r="K2584" s="291"/>
      <c r="L2584" s="291"/>
      <c r="M2584" s="291"/>
      <c r="N2584" s="291"/>
      <c r="O2584" s="391"/>
      <c r="P2584" s="391"/>
    </row>
    <row r="2585" spans="1:17" ht="15" customHeight="1">
      <c r="A2585" s="190"/>
      <c r="O2585" s="339"/>
      <c r="Q2585" s="353"/>
    </row>
    <row r="2586" spans="1:17" ht="14.25" customHeight="1">
      <c r="A2586" s="190"/>
      <c r="B2586" s="191" t="s">
        <v>92</v>
      </c>
      <c r="C2586" s="192">
        <f>SUM(G2583:G2584)</f>
        <v>6.5</v>
      </c>
      <c r="D2586" s="191" t="s">
        <v>50</v>
      </c>
      <c r="O2586" s="339"/>
    </row>
    <row r="2587" spans="1:17" s="293" customFormat="1" ht="14.25" customHeight="1">
      <c r="A2587" s="190"/>
      <c r="B2587" s="128"/>
      <c r="C2587" s="193"/>
      <c r="D2587" s="128"/>
      <c r="E2587" s="193"/>
      <c r="F2587" s="128"/>
      <c r="G2587" s="193"/>
      <c r="H2587" s="128"/>
      <c r="I2587" s="128"/>
      <c r="J2587" s="128"/>
      <c r="K2587" s="128"/>
      <c r="L2587" s="128"/>
      <c r="M2587" s="128"/>
      <c r="N2587" s="128"/>
      <c r="O2587" s="339"/>
      <c r="P2587" s="189"/>
    </row>
    <row r="2588" spans="1:17" s="293" customFormat="1" ht="14.25" customHeight="1">
      <c r="A2588" s="245" t="s">
        <v>196</v>
      </c>
      <c r="B2588" s="544" t="s">
        <v>277</v>
      </c>
      <c r="C2588" s="544"/>
      <c r="D2588" s="544"/>
      <c r="E2588" s="544"/>
      <c r="F2588" s="544"/>
      <c r="G2588" s="544"/>
      <c r="H2588" s="544"/>
      <c r="I2588" s="544"/>
      <c r="J2588" s="544"/>
      <c r="K2588" s="544"/>
      <c r="L2588" s="544"/>
      <c r="M2588" s="544"/>
      <c r="N2588" s="544"/>
      <c r="O2588" s="252" t="s">
        <v>1060</v>
      </c>
      <c r="P2588" s="350" t="s">
        <v>74</v>
      </c>
    </row>
    <row r="2589" spans="1:17" s="293" customFormat="1" ht="14.25" customHeight="1">
      <c r="A2589" s="194"/>
      <c r="B2589" s="246"/>
      <c r="C2589" s="246"/>
      <c r="D2589" s="246"/>
      <c r="E2589" s="246"/>
      <c r="F2589" s="246"/>
      <c r="G2589" s="246"/>
      <c r="H2589" s="246"/>
      <c r="I2589" s="246"/>
      <c r="J2589" s="246"/>
      <c r="K2589" s="246"/>
      <c r="L2589" s="246"/>
      <c r="M2589" s="246"/>
      <c r="N2589" s="246"/>
      <c r="O2589" s="252"/>
      <c r="P2589" s="350"/>
    </row>
    <row r="2590" spans="1:17" ht="15" customHeight="1">
      <c r="A2590" s="194"/>
      <c r="B2590" s="194"/>
      <c r="C2590" s="193" t="s">
        <v>75</v>
      </c>
      <c r="E2590" s="193" t="s">
        <v>87</v>
      </c>
      <c r="G2590" s="193" t="s">
        <v>75</v>
      </c>
      <c r="H2590" s="194"/>
      <c r="I2590" s="194"/>
      <c r="J2590" s="194"/>
      <c r="K2590" s="194"/>
      <c r="L2590" s="194"/>
      <c r="M2590" s="194"/>
      <c r="N2590" s="194"/>
      <c r="O2590" s="257"/>
      <c r="P2590" s="353"/>
    </row>
    <row r="2591" spans="1:17" ht="15" customHeight="1">
      <c r="A2591" s="265"/>
      <c r="B2591" s="264" t="s">
        <v>469</v>
      </c>
      <c r="C2591" s="193">
        <v>1.8</v>
      </c>
      <c r="D2591" s="128" t="s">
        <v>78</v>
      </c>
      <c r="E2591" s="193">
        <v>4</v>
      </c>
      <c r="F2591" s="128" t="s">
        <v>95</v>
      </c>
      <c r="G2591" s="193">
        <f>C2591*E2591</f>
        <v>7.2</v>
      </c>
      <c r="H2591" s="264" t="s">
        <v>50</v>
      </c>
      <c r="I2591" s="265"/>
      <c r="J2591" s="265"/>
      <c r="K2591" s="265"/>
      <c r="L2591" s="265"/>
      <c r="M2591" s="265"/>
      <c r="N2591" s="265"/>
      <c r="O2591" s="252"/>
      <c r="P2591" s="353"/>
    </row>
    <row r="2592" spans="1:17" ht="15" customHeight="1">
      <c r="A2592" s="190"/>
      <c r="O2592" s="339"/>
    </row>
    <row r="2593" spans="1:33" ht="14.25" customHeight="1">
      <c r="A2593" s="190"/>
      <c r="B2593" s="191" t="s">
        <v>92</v>
      </c>
      <c r="C2593" s="192">
        <f>SUM(G2591)</f>
        <v>7.2</v>
      </c>
      <c r="D2593" s="191" t="s">
        <v>50</v>
      </c>
      <c r="O2593" s="339"/>
    </row>
    <row r="2594" spans="1:33" ht="15" customHeight="1">
      <c r="A2594" s="190"/>
      <c r="C2594" s="193"/>
      <c r="E2594" s="193"/>
      <c r="G2594" s="193"/>
      <c r="O2594" s="339"/>
      <c r="Q2594" s="353"/>
    </row>
    <row r="2595" spans="1:33" ht="14.25" customHeight="1">
      <c r="A2595" s="245" t="s">
        <v>197</v>
      </c>
      <c r="B2595" s="553" t="s">
        <v>895</v>
      </c>
      <c r="C2595" s="550"/>
      <c r="D2595" s="550"/>
      <c r="E2595" s="550"/>
      <c r="F2595" s="550"/>
      <c r="G2595" s="550"/>
      <c r="H2595" s="550"/>
      <c r="I2595" s="550"/>
      <c r="J2595" s="550"/>
      <c r="K2595" s="550"/>
      <c r="L2595" s="550"/>
      <c r="M2595" s="550"/>
      <c r="N2595" s="550"/>
      <c r="O2595" s="252" t="s">
        <v>894</v>
      </c>
      <c r="P2595" s="350" t="s">
        <v>74</v>
      </c>
    </row>
    <row r="2596" spans="1:33" ht="14.25" customHeight="1">
      <c r="A2596" s="190"/>
      <c r="C2596" s="193"/>
      <c r="E2596" s="193"/>
      <c r="G2596" s="193"/>
      <c r="P2596" s="339"/>
    </row>
    <row r="2597" spans="1:33" ht="15" customHeight="1">
      <c r="A2597" s="190"/>
      <c r="C2597" s="193" t="s">
        <v>75</v>
      </c>
      <c r="E2597" s="193" t="s">
        <v>87</v>
      </c>
      <c r="F2597" s="129"/>
      <c r="G2597" s="193" t="s">
        <v>75</v>
      </c>
      <c r="P2597" s="339"/>
    </row>
    <row r="2598" spans="1:33" ht="15" customHeight="1">
      <c r="A2598" s="190"/>
      <c r="B2598" s="128" t="s">
        <v>896</v>
      </c>
      <c r="C2598" s="193">
        <v>6</v>
      </c>
      <c r="D2598" s="128" t="s">
        <v>78</v>
      </c>
      <c r="E2598" s="193">
        <v>2</v>
      </c>
      <c r="F2598" s="128" t="s">
        <v>95</v>
      </c>
      <c r="G2598" s="193">
        <f>C2598*E2598</f>
        <v>12</v>
      </c>
      <c r="H2598" s="128" t="s">
        <v>50</v>
      </c>
      <c r="P2598" s="339"/>
    </row>
    <row r="2599" spans="1:33" ht="15" customHeight="1">
      <c r="A2599" s="190"/>
      <c r="B2599" s="128" t="s">
        <v>897</v>
      </c>
      <c r="C2599" s="193">
        <v>7</v>
      </c>
      <c r="D2599" s="128" t="s">
        <v>78</v>
      </c>
      <c r="E2599" s="193">
        <v>1</v>
      </c>
      <c r="F2599" s="128" t="s">
        <v>95</v>
      </c>
      <c r="G2599" s="193">
        <f>C2599*E2599</f>
        <v>7</v>
      </c>
      <c r="H2599" s="128" t="s">
        <v>50</v>
      </c>
      <c r="P2599" s="339"/>
    </row>
    <row r="2600" spans="1:33" ht="14.25" customHeight="1">
      <c r="A2600" s="190"/>
      <c r="C2600" s="193"/>
      <c r="E2600" s="193"/>
      <c r="G2600" s="193"/>
      <c r="P2600" s="339"/>
    </row>
    <row r="2601" spans="1:33" ht="14.25" customHeight="1">
      <c r="A2601" s="190"/>
      <c r="B2601" s="191" t="s">
        <v>92</v>
      </c>
      <c r="C2601" s="192">
        <f>SUM(G2598:G2599)</f>
        <v>19</v>
      </c>
      <c r="D2601" s="191" t="s">
        <v>50</v>
      </c>
      <c r="E2601" s="192"/>
      <c r="G2601" s="193"/>
      <c r="P2601" s="339"/>
      <c r="R2601" s="129"/>
      <c r="S2601" s="129"/>
      <c r="T2601" s="129"/>
      <c r="U2601" s="129"/>
      <c r="V2601" s="129"/>
      <c r="W2601" s="129"/>
      <c r="X2601" s="129"/>
      <c r="Y2601" s="129"/>
      <c r="Z2601" s="129"/>
      <c r="AA2601" s="129"/>
      <c r="AB2601" s="129"/>
      <c r="AC2601" s="129"/>
      <c r="AD2601" s="129"/>
      <c r="AE2601" s="129"/>
      <c r="AF2601" s="129"/>
      <c r="AG2601" s="129"/>
    </row>
    <row r="2602" spans="1:33" ht="14.25" customHeight="1">
      <c r="A2602" s="190"/>
      <c r="C2602" s="193"/>
      <c r="E2602" s="193"/>
      <c r="G2602" s="193"/>
      <c r="P2602" s="339"/>
    </row>
    <row r="2603" spans="1:33" ht="14.25" customHeight="1">
      <c r="A2603" s="245" t="s">
        <v>1228</v>
      </c>
      <c r="B2603" s="553" t="s">
        <v>957</v>
      </c>
      <c r="C2603" s="550"/>
      <c r="D2603" s="550"/>
      <c r="E2603" s="550"/>
      <c r="F2603" s="550"/>
      <c r="G2603" s="550"/>
      <c r="H2603" s="550"/>
      <c r="I2603" s="550"/>
      <c r="J2603" s="550"/>
      <c r="K2603" s="550"/>
      <c r="L2603" s="550"/>
      <c r="M2603" s="550"/>
      <c r="N2603" s="550"/>
      <c r="O2603" s="252" t="s">
        <v>1061</v>
      </c>
      <c r="P2603" s="350" t="s">
        <v>954</v>
      </c>
    </row>
    <row r="2604" spans="1:33" ht="14.25" customHeight="1">
      <c r="A2604" s="190"/>
      <c r="C2604" s="193"/>
      <c r="E2604" s="193"/>
      <c r="G2604" s="193"/>
      <c r="P2604" s="339"/>
    </row>
    <row r="2605" spans="1:33" ht="14.25" customHeight="1">
      <c r="A2605" s="190"/>
      <c r="C2605" s="193" t="s">
        <v>87</v>
      </c>
      <c r="E2605" s="251"/>
      <c r="F2605" s="129"/>
      <c r="G2605" s="193"/>
      <c r="P2605" s="339"/>
      <c r="Q2605" s="129"/>
    </row>
    <row r="2606" spans="1:33" ht="14.25" customHeight="1">
      <c r="A2606" s="199"/>
      <c r="B2606" s="128" t="s">
        <v>294</v>
      </c>
      <c r="C2606" s="193">
        <v>1</v>
      </c>
      <c r="D2606" s="128" t="s">
        <v>82</v>
      </c>
      <c r="E2606" s="193"/>
      <c r="G2606" s="193"/>
      <c r="I2606" s="129"/>
      <c r="J2606" s="187"/>
      <c r="K2606" s="129"/>
      <c r="L2606" s="129"/>
      <c r="M2606" s="129"/>
      <c r="N2606" s="129"/>
      <c r="O2606" s="358"/>
      <c r="P2606" s="347"/>
      <c r="Q2606" s="129"/>
      <c r="R2606" s="129"/>
      <c r="S2606" s="129"/>
      <c r="T2606" s="129"/>
      <c r="U2606" s="129"/>
      <c r="V2606" s="129"/>
      <c r="W2606" s="129"/>
      <c r="X2606" s="129"/>
      <c r="Y2606" s="129"/>
      <c r="Z2606" s="129"/>
      <c r="AA2606" s="129"/>
      <c r="AB2606" s="129"/>
      <c r="AC2606" s="129"/>
      <c r="AD2606" s="129"/>
      <c r="AE2606" s="129"/>
      <c r="AF2606" s="129"/>
      <c r="AG2606" s="129"/>
    </row>
    <row r="2607" spans="1:33" ht="14.25" customHeight="1">
      <c r="A2607" s="199"/>
      <c r="B2607" s="128" t="s">
        <v>289</v>
      </c>
      <c r="C2607" s="193">
        <v>1</v>
      </c>
      <c r="D2607" s="128" t="s">
        <v>82</v>
      </c>
      <c r="E2607" s="193"/>
      <c r="G2607" s="193"/>
      <c r="I2607" s="129"/>
      <c r="J2607" s="187"/>
      <c r="K2607" s="129"/>
      <c r="L2607" s="129"/>
      <c r="M2607" s="129"/>
      <c r="N2607" s="129"/>
      <c r="O2607" s="358"/>
      <c r="P2607" s="347"/>
      <c r="Q2607" s="129"/>
      <c r="R2607" s="129"/>
      <c r="S2607" s="129"/>
      <c r="T2607" s="129"/>
      <c r="U2607" s="129"/>
      <c r="V2607" s="129"/>
      <c r="W2607" s="129"/>
      <c r="X2607" s="129"/>
      <c r="Y2607" s="129"/>
      <c r="Z2607" s="129"/>
      <c r="AA2607" s="129"/>
      <c r="AB2607" s="129"/>
      <c r="AC2607" s="129"/>
      <c r="AD2607" s="129"/>
      <c r="AE2607" s="129"/>
      <c r="AF2607" s="129"/>
      <c r="AG2607" s="129"/>
    </row>
    <row r="2608" spans="1:33" ht="14.25" customHeight="1">
      <c r="A2608" s="199"/>
      <c r="B2608" s="128" t="s">
        <v>290</v>
      </c>
      <c r="C2608" s="193">
        <v>1</v>
      </c>
      <c r="D2608" s="128" t="s">
        <v>82</v>
      </c>
      <c r="E2608" s="193"/>
      <c r="G2608" s="193"/>
      <c r="I2608" s="129"/>
      <c r="J2608" s="187"/>
      <c r="K2608" s="129"/>
      <c r="L2608" s="129"/>
      <c r="M2608" s="129"/>
      <c r="N2608" s="129"/>
      <c r="O2608" s="358"/>
      <c r="P2608" s="347"/>
      <c r="Q2608" s="129"/>
      <c r="R2608" s="129"/>
      <c r="S2608" s="129"/>
      <c r="T2608" s="129"/>
      <c r="U2608" s="129"/>
      <c r="V2608" s="129"/>
      <c r="W2608" s="129"/>
      <c r="X2608" s="129"/>
      <c r="Y2608" s="129"/>
      <c r="Z2608" s="129"/>
      <c r="AA2608" s="129"/>
      <c r="AB2608" s="129"/>
      <c r="AC2608" s="129"/>
      <c r="AD2608" s="129"/>
      <c r="AE2608" s="129"/>
      <c r="AF2608" s="129"/>
      <c r="AG2608" s="129"/>
    </row>
    <row r="2609" spans="1:33" ht="14.25">
      <c r="A2609" s="199"/>
      <c r="B2609" s="128" t="s">
        <v>295</v>
      </c>
      <c r="C2609" s="193">
        <v>1</v>
      </c>
      <c r="D2609" s="128" t="s">
        <v>82</v>
      </c>
      <c r="E2609" s="193"/>
      <c r="G2609" s="193"/>
      <c r="I2609" s="129"/>
      <c r="J2609" s="187"/>
      <c r="K2609" s="129"/>
      <c r="L2609" s="129"/>
      <c r="M2609" s="129"/>
      <c r="N2609" s="129"/>
      <c r="O2609" s="358"/>
      <c r="P2609" s="347"/>
      <c r="Q2609" s="129"/>
      <c r="R2609" s="129"/>
      <c r="S2609" s="129"/>
      <c r="T2609" s="129"/>
      <c r="U2609" s="129"/>
      <c r="V2609" s="129"/>
      <c r="W2609" s="129"/>
      <c r="X2609" s="129"/>
      <c r="Y2609" s="129"/>
      <c r="Z2609" s="129"/>
      <c r="AA2609" s="129"/>
      <c r="AB2609" s="129"/>
      <c r="AC2609" s="129"/>
      <c r="AD2609" s="129"/>
      <c r="AE2609" s="129"/>
      <c r="AF2609" s="129"/>
      <c r="AG2609" s="129"/>
    </row>
    <row r="2610" spans="1:33" ht="14.25" customHeight="1">
      <c r="A2610" s="199"/>
      <c r="B2610" s="128" t="s">
        <v>1175</v>
      </c>
      <c r="C2610" s="193">
        <v>1</v>
      </c>
      <c r="D2610" s="128" t="s">
        <v>82</v>
      </c>
      <c r="E2610" s="193"/>
      <c r="G2610" s="193"/>
      <c r="I2610" s="129"/>
      <c r="J2610" s="187"/>
      <c r="K2610" s="129"/>
      <c r="L2610" s="129"/>
      <c r="M2610" s="129"/>
      <c r="N2610" s="129"/>
      <c r="O2610" s="358"/>
      <c r="P2610" s="347"/>
      <c r="Q2610" s="129"/>
      <c r="R2610" s="129"/>
      <c r="S2610" s="129"/>
      <c r="T2610" s="129"/>
      <c r="U2610" s="129"/>
      <c r="V2610" s="129"/>
      <c r="W2610" s="129"/>
      <c r="X2610" s="129"/>
      <c r="Y2610" s="129"/>
      <c r="Z2610" s="129"/>
      <c r="AA2610" s="129"/>
      <c r="AB2610" s="129"/>
      <c r="AC2610" s="129"/>
      <c r="AD2610" s="129"/>
      <c r="AE2610" s="129"/>
      <c r="AF2610" s="129"/>
      <c r="AG2610" s="129"/>
    </row>
    <row r="2611" spans="1:33" ht="14.25">
      <c r="A2611" s="199"/>
      <c r="B2611" s="128" t="s">
        <v>1176</v>
      </c>
      <c r="C2611" s="193">
        <v>1</v>
      </c>
      <c r="D2611" s="128" t="s">
        <v>82</v>
      </c>
      <c r="E2611" s="193"/>
      <c r="G2611" s="193"/>
      <c r="I2611" s="129"/>
      <c r="J2611" s="187"/>
      <c r="K2611" s="129"/>
      <c r="L2611" s="129"/>
      <c r="M2611" s="129"/>
      <c r="N2611" s="129"/>
      <c r="O2611" s="358"/>
      <c r="P2611" s="347"/>
      <c r="Q2611" s="129"/>
      <c r="R2611" s="129"/>
      <c r="S2611" s="129"/>
      <c r="T2611" s="129"/>
      <c r="U2611" s="129"/>
      <c r="V2611" s="129"/>
      <c r="W2611" s="129"/>
      <c r="X2611" s="129"/>
      <c r="Y2611" s="129"/>
      <c r="Z2611" s="129"/>
      <c r="AA2611" s="129"/>
      <c r="AB2611" s="129"/>
      <c r="AC2611" s="129"/>
      <c r="AD2611" s="129"/>
      <c r="AE2611" s="129"/>
      <c r="AF2611" s="129"/>
      <c r="AG2611" s="129"/>
    </row>
    <row r="2612" spans="1:33" ht="14.25" customHeight="1">
      <c r="A2612" s="199"/>
      <c r="B2612" s="128" t="s">
        <v>460</v>
      </c>
      <c r="C2612" s="193">
        <v>1</v>
      </c>
      <c r="D2612" s="128" t="s">
        <v>82</v>
      </c>
      <c r="E2612" s="193"/>
      <c r="G2612" s="193"/>
      <c r="I2612" s="129"/>
      <c r="J2612" s="187"/>
      <c r="K2612" s="129"/>
      <c r="L2612" s="129"/>
      <c r="M2612" s="129"/>
      <c r="N2612" s="129"/>
      <c r="O2612" s="358"/>
      <c r="P2612" s="347"/>
      <c r="Q2612" s="129"/>
      <c r="R2612" s="129"/>
      <c r="S2612" s="129"/>
      <c r="T2612" s="129"/>
      <c r="U2612" s="129"/>
      <c r="V2612" s="129"/>
      <c r="W2612" s="129"/>
      <c r="X2612" s="129"/>
      <c r="Y2612" s="129"/>
      <c r="Z2612" s="129"/>
      <c r="AA2612" s="129"/>
      <c r="AB2612" s="129"/>
      <c r="AC2612" s="129"/>
      <c r="AD2612" s="129"/>
      <c r="AE2612" s="129"/>
      <c r="AF2612" s="129"/>
      <c r="AG2612" s="129"/>
    </row>
    <row r="2613" spans="1:33" ht="14.25" customHeight="1">
      <c r="A2613" s="199"/>
      <c r="B2613" s="129" t="s">
        <v>1180</v>
      </c>
      <c r="C2613" s="193">
        <v>1</v>
      </c>
      <c r="D2613" s="128" t="s">
        <v>82</v>
      </c>
      <c r="E2613" s="193"/>
      <c r="G2613" s="193"/>
      <c r="I2613" s="129"/>
      <c r="J2613" s="187"/>
      <c r="K2613" s="129"/>
      <c r="L2613" s="129"/>
      <c r="M2613" s="129"/>
      <c r="N2613" s="129"/>
      <c r="O2613" s="358"/>
      <c r="P2613" s="347"/>
      <c r="Q2613" s="129"/>
      <c r="R2613" s="129"/>
      <c r="S2613" s="129"/>
      <c r="T2613" s="129"/>
      <c r="U2613" s="129"/>
      <c r="V2613" s="129"/>
      <c r="W2613" s="129"/>
      <c r="X2613" s="129"/>
      <c r="Y2613" s="129"/>
      <c r="Z2613" s="129"/>
      <c r="AA2613" s="129"/>
      <c r="AB2613" s="129"/>
      <c r="AC2613" s="129"/>
      <c r="AD2613" s="129"/>
      <c r="AE2613" s="129"/>
      <c r="AF2613" s="129"/>
      <c r="AG2613" s="129"/>
    </row>
    <row r="2614" spans="1:33" ht="14.25" customHeight="1">
      <c r="A2614" s="199"/>
      <c r="B2614" s="128" t="s">
        <v>217</v>
      </c>
      <c r="C2614" s="193">
        <v>1</v>
      </c>
      <c r="D2614" s="128" t="s">
        <v>82</v>
      </c>
      <c r="E2614" s="193"/>
      <c r="G2614" s="193"/>
      <c r="I2614" s="129"/>
      <c r="J2614" s="187"/>
      <c r="K2614" s="129"/>
      <c r="L2614" s="129"/>
      <c r="M2614" s="129"/>
      <c r="N2614" s="129"/>
      <c r="O2614" s="358"/>
      <c r="P2614" s="347"/>
      <c r="Q2614" s="129"/>
      <c r="R2614" s="129"/>
      <c r="S2614" s="129"/>
      <c r="T2614" s="129"/>
      <c r="U2614" s="129"/>
      <c r="V2614" s="129"/>
      <c r="W2614" s="129"/>
      <c r="X2614" s="129"/>
      <c r="Y2614" s="129"/>
      <c r="Z2614" s="129"/>
      <c r="AA2614" s="129"/>
      <c r="AB2614" s="129"/>
      <c r="AC2614" s="129"/>
      <c r="AD2614" s="129"/>
      <c r="AE2614" s="129"/>
      <c r="AF2614" s="129"/>
      <c r="AG2614" s="129"/>
    </row>
    <row r="2615" spans="1:33" ht="14.25" customHeight="1">
      <c r="A2615" s="199"/>
      <c r="B2615" s="128" t="s">
        <v>1181</v>
      </c>
      <c r="C2615" s="193">
        <v>1</v>
      </c>
      <c r="D2615" s="128" t="s">
        <v>82</v>
      </c>
      <c r="E2615" s="193"/>
      <c r="G2615" s="193"/>
      <c r="I2615" s="129"/>
      <c r="J2615" s="187"/>
      <c r="K2615" s="129"/>
      <c r="L2615" s="129"/>
      <c r="M2615" s="129"/>
      <c r="N2615" s="129"/>
      <c r="O2615" s="358"/>
      <c r="P2615" s="347"/>
      <c r="Q2615" s="129"/>
      <c r="R2615" s="129"/>
      <c r="S2615" s="129"/>
      <c r="T2615" s="129"/>
      <c r="U2615" s="129"/>
      <c r="V2615" s="129"/>
      <c r="W2615" s="129"/>
      <c r="X2615" s="129"/>
      <c r="Y2615" s="129"/>
      <c r="Z2615" s="129"/>
      <c r="AA2615" s="129"/>
      <c r="AB2615" s="129"/>
      <c r="AC2615" s="129"/>
      <c r="AD2615" s="129"/>
      <c r="AE2615" s="129"/>
      <c r="AF2615" s="129"/>
      <c r="AG2615" s="129"/>
    </row>
    <row r="2616" spans="1:33" ht="14.25" customHeight="1">
      <c r="A2616" s="199"/>
      <c r="B2616" s="128" t="s">
        <v>461</v>
      </c>
      <c r="C2616" s="193">
        <v>2</v>
      </c>
      <c r="D2616" s="128" t="s">
        <v>82</v>
      </c>
      <c r="E2616" s="193"/>
      <c r="G2616" s="193"/>
      <c r="I2616" s="129"/>
      <c r="J2616" s="187"/>
      <c r="K2616" s="129"/>
      <c r="L2616" s="129"/>
      <c r="M2616" s="129"/>
      <c r="N2616" s="129"/>
      <c r="O2616" s="358"/>
      <c r="P2616" s="347"/>
      <c r="Q2616" s="129"/>
      <c r="R2616" s="129"/>
      <c r="S2616" s="129"/>
      <c r="T2616" s="129"/>
      <c r="U2616" s="129"/>
      <c r="V2616" s="129"/>
      <c r="W2616" s="129"/>
      <c r="X2616" s="129"/>
      <c r="Y2616" s="129"/>
      <c r="Z2616" s="129"/>
      <c r="AA2616" s="129"/>
      <c r="AB2616" s="129"/>
      <c r="AC2616" s="129"/>
      <c r="AD2616" s="129"/>
      <c r="AE2616" s="129"/>
      <c r="AF2616" s="129"/>
      <c r="AG2616" s="129"/>
    </row>
    <row r="2617" spans="1:33" ht="14.25" customHeight="1">
      <c r="A2617" s="199"/>
      <c r="B2617" s="129" t="s">
        <v>365</v>
      </c>
      <c r="C2617" s="193">
        <v>2</v>
      </c>
      <c r="D2617" s="128" t="s">
        <v>82</v>
      </c>
      <c r="E2617" s="193"/>
      <c r="G2617" s="193"/>
      <c r="I2617" s="129"/>
      <c r="J2617" s="187"/>
      <c r="K2617" s="129"/>
      <c r="L2617" s="129"/>
      <c r="M2617" s="129"/>
      <c r="N2617" s="129"/>
      <c r="O2617" s="358"/>
      <c r="P2617" s="347"/>
      <c r="Q2617" s="129"/>
      <c r="R2617" s="129"/>
      <c r="S2617" s="129"/>
      <c r="T2617" s="129"/>
      <c r="U2617" s="129"/>
      <c r="V2617" s="129"/>
      <c r="W2617" s="129"/>
      <c r="X2617" s="129"/>
      <c r="Y2617" s="129"/>
      <c r="Z2617" s="129"/>
      <c r="AA2617" s="129"/>
      <c r="AB2617" s="129"/>
      <c r="AC2617" s="129"/>
      <c r="AD2617" s="129"/>
      <c r="AE2617" s="129"/>
      <c r="AF2617" s="129"/>
      <c r="AG2617" s="129"/>
    </row>
    <row r="2618" spans="1:33" ht="14.25" customHeight="1">
      <c r="A2618" s="199"/>
      <c r="B2618" s="128" t="s">
        <v>219</v>
      </c>
      <c r="C2618" s="193">
        <v>1</v>
      </c>
      <c r="D2618" s="128" t="s">
        <v>82</v>
      </c>
      <c r="E2618" s="193"/>
      <c r="G2618" s="193"/>
      <c r="I2618" s="129"/>
      <c r="J2618" s="187"/>
      <c r="K2618" s="129"/>
      <c r="L2618" s="129"/>
      <c r="M2618" s="129"/>
      <c r="N2618" s="129"/>
      <c r="O2618" s="358"/>
      <c r="P2618" s="347"/>
      <c r="Q2618" s="129"/>
      <c r="R2618" s="129"/>
      <c r="S2618" s="129"/>
      <c r="T2618" s="129"/>
      <c r="U2618" s="129"/>
      <c r="V2618" s="129"/>
      <c r="W2618" s="129"/>
      <c r="X2618" s="129"/>
      <c r="Y2618" s="129"/>
      <c r="Z2618" s="129"/>
      <c r="AA2618" s="129"/>
      <c r="AB2618" s="129"/>
      <c r="AC2618" s="129"/>
      <c r="AD2618" s="129"/>
      <c r="AE2618" s="129"/>
      <c r="AF2618" s="129"/>
      <c r="AG2618" s="129"/>
    </row>
    <row r="2619" spans="1:33" ht="14.25" customHeight="1">
      <c r="A2619" s="199"/>
      <c r="B2619" s="128" t="s">
        <v>286</v>
      </c>
      <c r="C2619" s="193">
        <v>2</v>
      </c>
      <c r="D2619" s="128" t="s">
        <v>82</v>
      </c>
      <c r="E2619" s="193"/>
      <c r="G2619" s="193"/>
      <c r="I2619" s="129"/>
      <c r="J2619" s="187"/>
      <c r="K2619" s="129"/>
      <c r="L2619" s="129"/>
      <c r="M2619" s="129"/>
      <c r="N2619" s="129"/>
      <c r="O2619" s="358"/>
      <c r="P2619" s="347"/>
      <c r="Q2619" s="129"/>
      <c r="R2619" s="129"/>
      <c r="S2619" s="129"/>
      <c r="T2619" s="129"/>
      <c r="U2619" s="129"/>
      <c r="V2619" s="129"/>
      <c r="W2619" s="129"/>
      <c r="X2619" s="129"/>
      <c r="Y2619" s="129"/>
      <c r="Z2619" s="129"/>
      <c r="AA2619" s="129"/>
      <c r="AB2619" s="129"/>
      <c r="AC2619" s="129"/>
      <c r="AD2619" s="129"/>
      <c r="AE2619" s="129"/>
      <c r="AF2619" s="129"/>
      <c r="AG2619" s="129"/>
    </row>
    <row r="2620" spans="1:33" ht="14.25" customHeight="1">
      <c r="A2620" s="199"/>
      <c r="B2620" s="128" t="s">
        <v>284</v>
      </c>
      <c r="C2620" s="193">
        <v>1</v>
      </c>
      <c r="D2620" s="128" t="s">
        <v>82</v>
      </c>
      <c r="E2620" s="193"/>
      <c r="G2620" s="193"/>
      <c r="I2620" s="129"/>
      <c r="J2620" s="187"/>
      <c r="K2620" s="129"/>
      <c r="L2620" s="129"/>
      <c r="M2620" s="129"/>
      <c r="N2620" s="129"/>
      <c r="O2620" s="358"/>
      <c r="P2620" s="347"/>
      <c r="Q2620" s="129"/>
      <c r="R2620" s="129"/>
      <c r="S2620" s="129"/>
      <c r="T2620" s="129"/>
      <c r="U2620" s="129"/>
      <c r="V2620" s="129"/>
      <c r="W2620" s="129"/>
      <c r="X2620" s="129"/>
      <c r="Y2620" s="129"/>
      <c r="Z2620" s="129"/>
      <c r="AA2620" s="129"/>
      <c r="AB2620" s="129"/>
      <c r="AC2620" s="129"/>
      <c r="AD2620" s="129"/>
      <c r="AE2620" s="129"/>
      <c r="AF2620" s="129"/>
      <c r="AG2620" s="129"/>
    </row>
    <row r="2621" spans="1:33" ht="14.25" customHeight="1">
      <c r="A2621" s="199"/>
      <c r="B2621" s="128" t="s">
        <v>283</v>
      </c>
      <c r="C2621" s="193">
        <v>1</v>
      </c>
      <c r="D2621" s="128" t="s">
        <v>82</v>
      </c>
      <c r="E2621" s="193"/>
      <c r="G2621" s="193"/>
      <c r="I2621" s="129"/>
      <c r="J2621" s="187"/>
      <c r="K2621" s="129"/>
      <c r="L2621" s="129"/>
      <c r="M2621" s="129"/>
      <c r="N2621" s="129"/>
      <c r="O2621" s="358"/>
      <c r="P2621" s="347"/>
      <c r="Q2621" s="129"/>
      <c r="R2621" s="129"/>
      <c r="S2621" s="129"/>
      <c r="T2621" s="129"/>
      <c r="U2621" s="129"/>
      <c r="V2621" s="129"/>
      <c r="W2621" s="129"/>
      <c r="X2621" s="129"/>
      <c r="Y2621" s="129"/>
      <c r="Z2621" s="129"/>
      <c r="AA2621" s="129"/>
      <c r="AB2621" s="129"/>
      <c r="AC2621" s="129"/>
      <c r="AD2621" s="129"/>
      <c r="AE2621" s="129"/>
      <c r="AF2621" s="129"/>
      <c r="AG2621" s="129"/>
    </row>
    <row r="2622" spans="1:33" ht="14.25" customHeight="1">
      <c r="A2622" s="199"/>
      <c r="B2622" s="128" t="s">
        <v>1182</v>
      </c>
      <c r="C2622" s="193">
        <v>1</v>
      </c>
      <c r="D2622" s="128" t="s">
        <v>82</v>
      </c>
      <c r="E2622" s="193"/>
      <c r="G2622" s="193"/>
      <c r="I2622" s="129"/>
      <c r="J2622" s="187"/>
      <c r="K2622" s="129"/>
      <c r="L2622" s="129"/>
      <c r="M2622" s="129"/>
      <c r="N2622" s="129"/>
      <c r="O2622" s="358"/>
      <c r="P2622" s="347"/>
      <c r="Q2622" s="129"/>
      <c r="R2622" s="129"/>
      <c r="S2622" s="129"/>
      <c r="T2622" s="129"/>
      <c r="U2622" s="129"/>
      <c r="V2622" s="129"/>
      <c r="W2622" s="129"/>
      <c r="X2622" s="129"/>
      <c r="Y2622" s="129"/>
      <c r="Z2622" s="129"/>
      <c r="AA2622" s="129"/>
      <c r="AB2622" s="129"/>
      <c r="AC2622" s="129"/>
      <c r="AD2622" s="129"/>
      <c r="AE2622" s="129"/>
      <c r="AF2622" s="129"/>
      <c r="AG2622" s="129"/>
    </row>
    <row r="2623" spans="1:33" ht="14.25" customHeight="1">
      <c r="A2623" s="199"/>
      <c r="B2623" s="128" t="s">
        <v>1177</v>
      </c>
      <c r="C2623" s="193">
        <v>1</v>
      </c>
      <c r="D2623" s="128" t="s">
        <v>82</v>
      </c>
      <c r="E2623" s="193"/>
      <c r="G2623" s="193"/>
      <c r="I2623" s="129"/>
      <c r="J2623" s="187"/>
      <c r="K2623" s="129"/>
      <c r="L2623" s="129"/>
      <c r="M2623" s="129"/>
      <c r="N2623" s="129"/>
      <c r="O2623" s="358"/>
      <c r="P2623" s="347"/>
      <c r="Q2623" s="129"/>
      <c r="R2623" s="129"/>
      <c r="S2623" s="129"/>
      <c r="T2623" s="129"/>
      <c r="U2623" s="129"/>
      <c r="V2623" s="129"/>
      <c r="W2623" s="129"/>
      <c r="X2623" s="129"/>
      <c r="Y2623" s="129"/>
      <c r="Z2623" s="129"/>
      <c r="AA2623" s="129"/>
      <c r="AB2623" s="129"/>
      <c r="AC2623" s="129"/>
      <c r="AD2623" s="129"/>
      <c r="AE2623" s="129"/>
      <c r="AF2623" s="129"/>
      <c r="AG2623" s="129"/>
    </row>
    <row r="2624" spans="1:33" ht="14.25" customHeight="1">
      <c r="A2624" s="199"/>
      <c r="B2624" s="128" t="s">
        <v>1178</v>
      </c>
      <c r="C2624" s="193">
        <v>2</v>
      </c>
      <c r="D2624" s="128" t="s">
        <v>82</v>
      </c>
      <c r="E2624" s="193"/>
      <c r="G2624" s="193"/>
      <c r="I2624" s="129"/>
      <c r="J2624" s="187"/>
      <c r="K2624" s="129"/>
      <c r="L2624" s="129"/>
      <c r="M2624" s="129"/>
      <c r="N2624" s="129"/>
      <c r="O2624" s="358"/>
      <c r="P2624" s="347"/>
      <c r="Q2624" s="129"/>
      <c r="R2624" s="129"/>
      <c r="S2624" s="129"/>
      <c r="T2624" s="129"/>
      <c r="U2624" s="129"/>
      <c r="V2624" s="129"/>
      <c r="W2624" s="129"/>
      <c r="X2624" s="129"/>
      <c r="Y2624" s="129"/>
      <c r="Z2624" s="129"/>
      <c r="AA2624" s="129"/>
      <c r="AB2624" s="129"/>
      <c r="AC2624" s="129"/>
      <c r="AD2624" s="129"/>
      <c r="AE2624" s="129"/>
      <c r="AF2624" s="129"/>
      <c r="AG2624" s="129"/>
    </row>
    <row r="2625" spans="1:33" ht="14.25" customHeight="1">
      <c r="A2625" s="199"/>
      <c r="B2625" s="128" t="s">
        <v>1169</v>
      </c>
      <c r="C2625" s="193">
        <v>1</v>
      </c>
      <c r="D2625" s="128" t="s">
        <v>82</v>
      </c>
      <c r="E2625" s="193"/>
      <c r="G2625" s="193"/>
      <c r="I2625" s="129"/>
      <c r="J2625" s="187"/>
      <c r="K2625" s="129"/>
      <c r="L2625" s="129"/>
      <c r="M2625" s="129"/>
      <c r="N2625" s="129"/>
      <c r="O2625" s="358"/>
      <c r="P2625" s="347"/>
      <c r="Q2625" s="129"/>
      <c r="R2625" s="129"/>
      <c r="S2625" s="129"/>
      <c r="T2625" s="129"/>
      <c r="U2625" s="129"/>
      <c r="V2625" s="129"/>
      <c r="W2625" s="129"/>
      <c r="X2625" s="129"/>
      <c r="Y2625" s="129"/>
      <c r="Z2625" s="129"/>
      <c r="AA2625" s="129"/>
      <c r="AB2625" s="129"/>
      <c r="AC2625" s="129"/>
      <c r="AD2625" s="129"/>
      <c r="AE2625" s="129"/>
      <c r="AF2625" s="129"/>
      <c r="AG2625" s="129"/>
    </row>
    <row r="2626" spans="1:33" ht="14.25" customHeight="1">
      <c r="A2626" s="199"/>
      <c r="B2626" s="128" t="s">
        <v>1179</v>
      </c>
      <c r="C2626" s="193">
        <v>2</v>
      </c>
      <c r="D2626" s="128" t="s">
        <v>82</v>
      </c>
      <c r="E2626" s="193"/>
      <c r="G2626" s="193"/>
      <c r="I2626" s="129"/>
      <c r="J2626" s="187"/>
      <c r="K2626" s="129"/>
      <c r="L2626" s="129"/>
      <c r="M2626" s="129"/>
      <c r="N2626" s="129"/>
      <c r="O2626" s="358"/>
      <c r="P2626" s="347"/>
      <c r="Q2626" s="129"/>
      <c r="R2626" s="129"/>
      <c r="S2626" s="129"/>
      <c r="T2626" s="129"/>
      <c r="U2626" s="129"/>
      <c r="V2626" s="129"/>
      <c r="W2626" s="129"/>
      <c r="X2626" s="129"/>
      <c r="Y2626" s="129"/>
      <c r="Z2626" s="129"/>
      <c r="AA2626" s="129"/>
      <c r="AB2626" s="129"/>
      <c r="AC2626" s="129"/>
      <c r="AD2626" s="129"/>
      <c r="AE2626" s="129"/>
      <c r="AF2626" s="129"/>
      <c r="AG2626" s="129"/>
    </row>
    <row r="2627" spans="1:33" ht="14.25" customHeight="1">
      <c r="A2627" s="199"/>
      <c r="B2627" s="128" t="s">
        <v>288</v>
      </c>
      <c r="C2627" s="193">
        <v>1</v>
      </c>
      <c r="D2627" s="128" t="s">
        <v>82</v>
      </c>
      <c r="E2627" s="193"/>
      <c r="G2627" s="193"/>
      <c r="I2627" s="129"/>
      <c r="J2627" s="187"/>
      <c r="K2627" s="129"/>
      <c r="L2627" s="129"/>
      <c r="M2627" s="129"/>
      <c r="N2627" s="129"/>
      <c r="O2627" s="358"/>
      <c r="P2627" s="347"/>
      <c r="Q2627" s="129"/>
      <c r="R2627" s="129"/>
      <c r="S2627" s="129"/>
      <c r="T2627" s="129"/>
      <c r="U2627" s="129"/>
      <c r="V2627" s="129"/>
      <c r="W2627" s="129"/>
      <c r="X2627" s="129"/>
      <c r="Y2627" s="129"/>
      <c r="Z2627" s="129"/>
      <c r="AA2627" s="129"/>
      <c r="AB2627" s="129"/>
      <c r="AC2627" s="129"/>
      <c r="AD2627" s="129"/>
      <c r="AE2627" s="129"/>
      <c r="AF2627" s="129"/>
      <c r="AG2627" s="129"/>
    </row>
    <row r="2628" spans="1:33" ht="14.25" customHeight="1">
      <c r="A2628" s="199"/>
      <c r="B2628" s="128" t="s">
        <v>287</v>
      </c>
      <c r="C2628" s="193">
        <v>1</v>
      </c>
      <c r="D2628" s="128" t="s">
        <v>82</v>
      </c>
      <c r="E2628" s="193"/>
      <c r="G2628" s="193"/>
      <c r="I2628" s="129"/>
      <c r="J2628" s="187"/>
      <c r="K2628" s="129"/>
      <c r="L2628" s="129"/>
      <c r="M2628" s="129"/>
      <c r="N2628" s="129"/>
      <c r="O2628" s="358"/>
      <c r="P2628" s="347"/>
      <c r="Q2628" s="129"/>
      <c r="R2628" s="129"/>
      <c r="S2628" s="129"/>
      <c r="T2628" s="129"/>
      <c r="U2628" s="129"/>
      <c r="V2628" s="129"/>
      <c r="W2628" s="129"/>
      <c r="X2628" s="129"/>
      <c r="Y2628" s="129"/>
      <c r="Z2628" s="129"/>
      <c r="AA2628" s="129"/>
      <c r="AB2628" s="129"/>
      <c r="AC2628" s="129"/>
      <c r="AD2628" s="129"/>
      <c r="AE2628" s="129"/>
      <c r="AF2628" s="129"/>
      <c r="AG2628" s="129"/>
    </row>
    <row r="2629" spans="1:33" ht="14.25" customHeight="1">
      <c r="A2629" s="199"/>
      <c r="B2629" s="128" t="s">
        <v>158</v>
      </c>
      <c r="C2629" s="193">
        <v>1</v>
      </c>
      <c r="D2629" s="128" t="s">
        <v>82</v>
      </c>
      <c r="E2629" s="193"/>
      <c r="G2629" s="193"/>
      <c r="I2629" s="129"/>
      <c r="J2629" s="187"/>
      <c r="K2629" s="129"/>
      <c r="L2629" s="129"/>
      <c r="M2629" s="129"/>
      <c r="N2629" s="129"/>
      <c r="O2629" s="358"/>
      <c r="P2629" s="347"/>
      <c r="Q2629" s="129"/>
      <c r="R2629" s="129"/>
      <c r="S2629" s="129"/>
      <c r="T2629" s="129"/>
      <c r="U2629" s="129"/>
      <c r="V2629" s="129"/>
      <c r="W2629" s="129"/>
      <c r="X2629" s="129"/>
      <c r="Y2629" s="129"/>
      <c r="Z2629" s="129"/>
      <c r="AA2629" s="129"/>
      <c r="AB2629" s="129"/>
      <c r="AC2629" s="129"/>
      <c r="AD2629" s="129"/>
      <c r="AE2629" s="129"/>
      <c r="AF2629" s="129"/>
      <c r="AG2629" s="129"/>
    </row>
    <row r="2630" spans="1:33" ht="14.25">
      <c r="A2630" s="199"/>
      <c r="B2630" s="129" t="s">
        <v>281</v>
      </c>
      <c r="C2630" s="193">
        <v>1</v>
      </c>
      <c r="D2630" s="128" t="s">
        <v>82</v>
      </c>
      <c r="E2630" s="193"/>
      <c r="G2630" s="193"/>
      <c r="I2630" s="129"/>
      <c r="J2630" s="187"/>
      <c r="K2630" s="129"/>
      <c r="L2630" s="129"/>
      <c r="M2630" s="129"/>
      <c r="N2630" s="129"/>
      <c r="O2630" s="358"/>
      <c r="P2630" s="347"/>
      <c r="Q2630" s="129"/>
      <c r="R2630" s="129"/>
      <c r="S2630" s="129"/>
      <c r="T2630" s="129"/>
      <c r="U2630" s="129"/>
      <c r="V2630" s="129"/>
      <c r="W2630" s="129"/>
      <c r="X2630" s="129"/>
      <c r="Y2630" s="129"/>
      <c r="Z2630" s="129"/>
      <c r="AA2630" s="129"/>
      <c r="AB2630" s="129"/>
      <c r="AC2630" s="129"/>
      <c r="AD2630" s="129"/>
      <c r="AE2630" s="129"/>
      <c r="AF2630" s="129"/>
      <c r="AG2630" s="129"/>
    </row>
    <row r="2631" spans="1:33" ht="14.25" customHeight="1">
      <c r="A2631" s="199"/>
      <c r="B2631" s="128" t="s">
        <v>282</v>
      </c>
      <c r="C2631" s="193">
        <v>1</v>
      </c>
      <c r="D2631" s="128" t="s">
        <v>82</v>
      </c>
      <c r="E2631" s="193"/>
      <c r="G2631" s="193"/>
      <c r="I2631" s="129"/>
      <c r="J2631" s="187"/>
      <c r="K2631" s="129"/>
      <c r="L2631" s="129"/>
      <c r="M2631" s="129"/>
      <c r="N2631" s="129"/>
      <c r="O2631" s="358"/>
      <c r="P2631" s="347"/>
      <c r="Q2631" s="129"/>
      <c r="R2631" s="129"/>
      <c r="S2631" s="129"/>
      <c r="T2631" s="129"/>
      <c r="U2631" s="129"/>
      <c r="V2631" s="129"/>
      <c r="W2631" s="129"/>
      <c r="X2631" s="129"/>
      <c r="Y2631" s="129"/>
      <c r="Z2631" s="129"/>
      <c r="AA2631" s="129"/>
      <c r="AB2631" s="129"/>
      <c r="AC2631" s="129"/>
      <c r="AD2631" s="129"/>
      <c r="AE2631" s="129"/>
      <c r="AF2631" s="129"/>
      <c r="AG2631" s="129"/>
    </row>
    <row r="2632" spans="1:33" ht="14.25" customHeight="1">
      <c r="A2632" s="199"/>
      <c r="B2632" s="128" t="s">
        <v>291</v>
      </c>
      <c r="C2632" s="193">
        <v>2</v>
      </c>
      <c r="D2632" s="128" t="s">
        <v>82</v>
      </c>
      <c r="E2632" s="193"/>
      <c r="G2632" s="193"/>
      <c r="I2632" s="129"/>
      <c r="J2632" s="187"/>
      <c r="K2632" s="129"/>
      <c r="L2632" s="129"/>
      <c r="M2632" s="129"/>
      <c r="N2632" s="129"/>
      <c r="O2632" s="358"/>
      <c r="P2632" s="347"/>
      <c r="Q2632" s="129"/>
      <c r="R2632" s="129"/>
      <c r="S2632" s="129"/>
      <c r="T2632" s="129"/>
      <c r="U2632" s="129"/>
      <c r="V2632" s="129"/>
      <c r="W2632" s="129"/>
      <c r="X2632" s="129"/>
      <c r="Y2632" s="129"/>
      <c r="Z2632" s="129"/>
      <c r="AA2632" s="129"/>
      <c r="AB2632" s="129"/>
      <c r="AC2632" s="129"/>
      <c r="AD2632" s="129"/>
      <c r="AE2632" s="129"/>
      <c r="AF2632" s="129"/>
      <c r="AG2632" s="129"/>
    </row>
    <row r="2633" spans="1:33" ht="14.25" customHeight="1">
      <c r="A2633" s="199"/>
      <c r="B2633" s="128" t="s">
        <v>292</v>
      </c>
      <c r="C2633" s="193">
        <v>2</v>
      </c>
      <c r="D2633" s="128" t="s">
        <v>82</v>
      </c>
      <c r="E2633" s="193"/>
      <c r="G2633" s="193"/>
      <c r="I2633" s="129"/>
      <c r="J2633" s="187"/>
      <c r="K2633" s="129"/>
      <c r="L2633" s="129"/>
      <c r="M2633" s="129"/>
      <c r="N2633" s="129"/>
      <c r="O2633" s="358"/>
      <c r="P2633" s="347"/>
      <c r="Q2633" s="129"/>
      <c r="R2633" s="129"/>
      <c r="S2633" s="129"/>
      <c r="T2633" s="129"/>
      <c r="U2633" s="129"/>
      <c r="V2633" s="129"/>
      <c r="W2633" s="129"/>
      <c r="X2633" s="129"/>
      <c r="Y2633" s="129"/>
      <c r="Z2633" s="129"/>
      <c r="AA2633" s="129"/>
      <c r="AB2633" s="129"/>
      <c r="AC2633" s="129"/>
      <c r="AD2633" s="129"/>
      <c r="AE2633" s="129"/>
      <c r="AF2633" s="129"/>
      <c r="AG2633" s="129"/>
    </row>
    <row r="2634" spans="1:33" ht="14.25" customHeight="1">
      <c r="A2634" s="199"/>
      <c r="B2634" s="128" t="s">
        <v>293</v>
      </c>
      <c r="C2634" s="193">
        <v>2</v>
      </c>
      <c r="D2634" s="128" t="s">
        <v>82</v>
      </c>
      <c r="E2634" s="193"/>
      <c r="G2634" s="193"/>
      <c r="I2634" s="129"/>
      <c r="J2634" s="187"/>
      <c r="K2634" s="129"/>
      <c r="L2634" s="129"/>
      <c r="M2634" s="129"/>
      <c r="N2634" s="129"/>
      <c r="O2634" s="358"/>
      <c r="P2634" s="347"/>
      <c r="Q2634" s="129"/>
      <c r="R2634" s="129"/>
      <c r="S2634" s="129"/>
      <c r="T2634" s="129"/>
      <c r="U2634" s="129"/>
      <c r="V2634" s="129"/>
      <c r="W2634" s="129"/>
      <c r="X2634" s="129"/>
      <c r="Y2634" s="129"/>
      <c r="Z2634" s="129"/>
      <c r="AA2634" s="129"/>
      <c r="AB2634" s="129"/>
      <c r="AC2634" s="129"/>
      <c r="AD2634" s="129"/>
      <c r="AE2634" s="129"/>
      <c r="AF2634" s="129"/>
      <c r="AG2634" s="129"/>
    </row>
    <row r="2635" spans="1:33" ht="14.25" customHeight="1">
      <c r="A2635" s="199"/>
      <c r="B2635" s="128" t="s">
        <v>220</v>
      </c>
      <c r="C2635" s="193">
        <v>1</v>
      </c>
      <c r="D2635" s="128" t="s">
        <v>82</v>
      </c>
      <c r="E2635" s="193"/>
      <c r="G2635" s="193"/>
      <c r="I2635" s="129"/>
      <c r="J2635" s="187"/>
      <c r="K2635" s="129"/>
      <c r="L2635" s="129"/>
      <c r="M2635" s="129"/>
      <c r="N2635" s="129"/>
      <c r="O2635" s="358"/>
      <c r="P2635" s="347"/>
      <c r="Q2635" s="129"/>
      <c r="R2635" s="129"/>
      <c r="S2635" s="129"/>
      <c r="T2635" s="129"/>
      <c r="U2635" s="129"/>
      <c r="V2635" s="129"/>
      <c r="W2635" s="129"/>
      <c r="X2635" s="129"/>
      <c r="Y2635" s="129"/>
      <c r="Z2635" s="129"/>
      <c r="AA2635" s="129"/>
      <c r="AB2635" s="129"/>
      <c r="AC2635" s="129"/>
      <c r="AD2635" s="129"/>
      <c r="AE2635" s="129"/>
      <c r="AF2635" s="129"/>
      <c r="AG2635" s="129"/>
    </row>
    <row r="2636" spans="1:33" ht="14.25" customHeight="1">
      <c r="A2636" s="190"/>
      <c r="C2636" s="193"/>
      <c r="E2636" s="251"/>
      <c r="F2636" s="129"/>
      <c r="G2636" s="193"/>
      <c r="P2636" s="339"/>
    </row>
    <row r="2637" spans="1:33" ht="14.25" customHeight="1">
      <c r="A2637" s="190"/>
      <c r="B2637" s="191" t="s">
        <v>92</v>
      </c>
      <c r="C2637" s="192">
        <f>SUM(C2606:C2635)</f>
        <v>38</v>
      </c>
      <c r="D2637" s="191" t="s">
        <v>82</v>
      </c>
      <c r="E2637" s="193"/>
      <c r="G2637" s="193"/>
      <c r="P2637" s="339"/>
    </row>
    <row r="2638" spans="1:33" ht="14.25" customHeight="1">
      <c r="A2638" s="190"/>
      <c r="C2638" s="193"/>
      <c r="E2638" s="193"/>
      <c r="G2638" s="193"/>
      <c r="P2638" s="339"/>
    </row>
    <row r="2639" spans="1:33" ht="14.25" customHeight="1">
      <c r="A2639" s="188" t="s">
        <v>198</v>
      </c>
      <c r="B2639" s="551" t="s">
        <v>1264</v>
      </c>
      <c r="C2639" s="552"/>
      <c r="D2639" s="552"/>
      <c r="E2639" s="552"/>
      <c r="F2639" s="552"/>
      <c r="G2639" s="552"/>
      <c r="H2639" s="552"/>
      <c r="I2639" s="552"/>
      <c r="J2639" s="552"/>
      <c r="K2639" s="552"/>
      <c r="L2639" s="552"/>
      <c r="M2639" s="552"/>
      <c r="N2639" s="552"/>
      <c r="O2639" s="340"/>
      <c r="P2639" s="347"/>
    </row>
    <row r="2640" spans="1:33" ht="14.25" customHeight="1">
      <c r="A2640" s="190"/>
      <c r="C2640" s="192"/>
      <c r="D2640" s="191"/>
      <c r="E2640" s="193"/>
      <c r="G2640" s="193"/>
      <c r="P2640" s="339"/>
    </row>
    <row r="2641" spans="1:17" ht="14.25" customHeight="1">
      <c r="A2641" s="245" t="s">
        <v>199</v>
      </c>
      <c r="B2641" s="544" t="s">
        <v>495</v>
      </c>
      <c r="C2641" s="550"/>
      <c r="D2641" s="550"/>
      <c r="E2641" s="550"/>
      <c r="F2641" s="550"/>
      <c r="G2641" s="550"/>
      <c r="H2641" s="550"/>
      <c r="I2641" s="550"/>
      <c r="J2641" s="550"/>
      <c r="K2641" s="550"/>
      <c r="L2641" s="550"/>
      <c r="M2641" s="550"/>
      <c r="N2641" s="550"/>
      <c r="O2641" s="346">
        <v>93358</v>
      </c>
    </row>
    <row r="2642" spans="1:17" ht="14.25" customHeight="1">
      <c r="A2642" s="194"/>
      <c r="B2642" s="246"/>
      <c r="C2642" s="246"/>
      <c r="D2642" s="246"/>
      <c r="E2642" s="246"/>
      <c r="F2642" s="246"/>
      <c r="G2642" s="246"/>
      <c r="H2642" s="246"/>
      <c r="I2642" s="246"/>
      <c r="J2642" s="246"/>
      <c r="K2642" s="246"/>
      <c r="L2642" s="246"/>
      <c r="M2642" s="246"/>
      <c r="N2642" s="246"/>
      <c r="P2642" s="346"/>
    </row>
    <row r="2643" spans="1:17" ht="14.25" customHeight="1">
      <c r="A2643" s="190"/>
      <c r="B2643" s="575" t="s">
        <v>1279</v>
      </c>
      <c r="C2643" s="576"/>
      <c r="D2643" s="576"/>
      <c r="E2643" s="576"/>
      <c r="F2643" s="576"/>
      <c r="G2643" s="576"/>
      <c r="H2643" s="576"/>
      <c r="I2643" s="576"/>
      <c r="J2643" s="576"/>
      <c r="K2643" s="576"/>
      <c r="L2643" s="576"/>
      <c r="M2643" s="576"/>
      <c r="N2643" s="576"/>
      <c r="O2643" s="354"/>
      <c r="P2643" s="339"/>
      <c r="Q2643" s="129"/>
    </row>
    <row r="2644" spans="1:17" ht="14.25" customHeight="1">
      <c r="A2644" s="190"/>
      <c r="B2644" s="330"/>
      <c r="C2644" s="330"/>
      <c r="D2644" s="330"/>
      <c r="E2644" s="330"/>
      <c r="F2644" s="330"/>
      <c r="G2644" s="330"/>
      <c r="H2644" s="330"/>
      <c r="I2644" s="330"/>
      <c r="J2644" s="330"/>
      <c r="K2644" s="330"/>
      <c r="L2644" s="330"/>
      <c r="M2644" s="330"/>
      <c r="N2644" s="330"/>
      <c r="O2644" s="355"/>
      <c r="P2644" s="339"/>
    </row>
    <row r="2645" spans="1:17">
      <c r="A2645" s="190"/>
      <c r="C2645" s="193" t="s">
        <v>75</v>
      </c>
      <c r="E2645" s="193" t="s">
        <v>86</v>
      </c>
      <c r="G2645" s="128" t="s">
        <v>107</v>
      </c>
      <c r="I2645" s="128" t="s">
        <v>87</v>
      </c>
      <c r="K2645" s="193" t="s">
        <v>91</v>
      </c>
      <c r="L2645" s="191"/>
      <c r="P2645" s="339"/>
      <c r="Q2645" s="187"/>
    </row>
    <row r="2646" spans="1:17" ht="14.25" customHeight="1">
      <c r="A2646" s="307" t="s">
        <v>98</v>
      </c>
      <c r="B2646" s="128" t="s">
        <v>261</v>
      </c>
      <c r="C2646" s="193">
        <v>0.4</v>
      </c>
      <c r="D2646" s="128" t="s">
        <v>78</v>
      </c>
      <c r="E2646" s="193">
        <v>0.3</v>
      </c>
      <c r="F2646" s="128" t="s">
        <v>78</v>
      </c>
      <c r="G2646" s="193">
        <v>0.3</v>
      </c>
      <c r="H2646" s="128" t="s">
        <v>78</v>
      </c>
      <c r="I2646" s="193">
        <v>80</v>
      </c>
      <c r="J2646" s="128" t="s">
        <v>95</v>
      </c>
      <c r="K2646" s="193">
        <f>C2646*E2646*G2646*I2646</f>
        <v>2.88</v>
      </c>
      <c r="L2646" s="128" t="s">
        <v>44</v>
      </c>
      <c r="P2646" s="339"/>
    </row>
    <row r="2647" spans="1:17" ht="14.25" customHeight="1">
      <c r="A2647" s="307" t="s">
        <v>98</v>
      </c>
      <c r="B2647" s="128" t="s">
        <v>355</v>
      </c>
      <c r="C2647" s="193">
        <v>221.53</v>
      </c>
      <c r="D2647" s="128" t="s">
        <v>78</v>
      </c>
      <c r="E2647" s="248">
        <f>0.15+0.3</f>
        <v>0.44999999999999996</v>
      </c>
      <c r="F2647" s="128" t="s">
        <v>78</v>
      </c>
      <c r="G2647" s="193">
        <f>0.25+0.05</f>
        <v>0.3</v>
      </c>
      <c r="H2647" s="128" t="s">
        <v>78</v>
      </c>
      <c r="I2647" s="193">
        <v>1</v>
      </c>
      <c r="J2647" s="128" t="s">
        <v>95</v>
      </c>
      <c r="K2647" s="193">
        <f>C2647*E2647*G2647*I2647</f>
        <v>29.906549999999996</v>
      </c>
      <c r="L2647" s="128" t="s">
        <v>44</v>
      </c>
      <c r="P2647" s="339"/>
    </row>
    <row r="2648" spans="1:17" ht="14.25" customHeight="1">
      <c r="A2648" s="190"/>
      <c r="C2648" s="193"/>
      <c r="E2648" s="193"/>
      <c r="K2648" s="192"/>
      <c r="L2648" s="191"/>
      <c r="P2648" s="339"/>
    </row>
    <row r="2649" spans="1:17" ht="14.25" customHeight="1">
      <c r="A2649" s="190"/>
      <c r="B2649" s="191" t="s">
        <v>92</v>
      </c>
      <c r="C2649" s="192">
        <f>SUM(K2646:K2647)</f>
        <v>32.786549999999998</v>
      </c>
      <c r="D2649" s="191" t="s">
        <v>44</v>
      </c>
      <c r="E2649" s="193"/>
      <c r="K2649" s="192"/>
      <c r="L2649" s="191"/>
      <c r="P2649" s="339"/>
    </row>
    <row r="2650" spans="1:17" ht="14.25" customHeight="1">
      <c r="A2650" s="190"/>
      <c r="B2650" s="191"/>
      <c r="C2650" s="192"/>
      <c r="D2650" s="191"/>
      <c r="E2650" s="193"/>
      <c r="K2650" s="192"/>
      <c r="L2650" s="191"/>
      <c r="P2650" s="339"/>
    </row>
    <row r="2651" spans="1:17" ht="14.25" customHeight="1">
      <c r="A2651" s="245" t="s">
        <v>200</v>
      </c>
      <c r="B2651" s="544" t="s">
        <v>104</v>
      </c>
      <c r="C2651" s="550"/>
      <c r="D2651" s="550"/>
      <c r="E2651" s="550"/>
      <c r="F2651" s="550"/>
      <c r="G2651" s="550"/>
      <c r="H2651" s="550"/>
      <c r="I2651" s="550"/>
      <c r="J2651" s="550"/>
      <c r="K2651" s="550"/>
      <c r="L2651" s="550"/>
      <c r="M2651" s="550"/>
      <c r="N2651" s="550"/>
      <c r="O2651" s="346">
        <v>101616</v>
      </c>
    </row>
    <row r="2652" spans="1:17" ht="14.25" customHeight="1">
      <c r="A2652" s="190"/>
      <c r="C2652" s="193"/>
      <c r="E2652" s="193"/>
      <c r="G2652" s="193"/>
      <c r="P2652" s="339"/>
    </row>
    <row r="2653" spans="1:17" ht="14.25" customHeight="1">
      <c r="A2653" s="190"/>
      <c r="C2653" s="193" t="s">
        <v>75</v>
      </c>
      <c r="E2653" s="193" t="s">
        <v>86</v>
      </c>
      <c r="G2653" s="128" t="s">
        <v>87</v>
      </c>
      <c r="I2653" s="193" t="s">
        <v>77</v>
      </c>
      <c r="J2653" s="191"/>
      <c r="P2653" s="339"/>
    </row>
    <row r="2654" spans="1:17" ht="14.25" customHeight="1">
      <c r="A2654" s="307" t="s">
        <v>98</v>
      </c>
      <c r="B2654" s="128" t="s">
        <v>261</v>
      </c>
      <c r="C2654" s="193">
        <f>C2646</f>
        <v>0.4</v>
      </c>
      <c r="D2654" s="128" t="s">
        <v>78</v>
      </c>
      <c r="E2654" s="193">
        <f>E2646</f>
        <v>0.3</v>
      </c>
      <c r="F2654" s="128" t="s">
        <v>78</v>
      </c>
      <c r="G2654" s="193">
        <f>I2646</f>
        <v>80</v>
      </c>
      <c r="H2654" s="128" t="s">
        <v>95</v>
      </c>
      <c r="I2654" s="193">
        <f>C2654*E2654*G2654</f>
        <v>9.6</v>
      </c>
      <c r="J2654" s="128" t="s">
        <v>42</v>
      </c>
      <c r="P2654" s="339"/>
    </row>
    <row r="2655" spans="1:17" ht="14.25" customHeight="1">
      <c r="A2655" s="190"/>
      <c r="B2655" s="128" t="s">
        <v>355</v>
      </c>
      <c r="C2655" s="193">
        <f>C2647</f>
        <v>221.53</v>
      </c>
      <c r="D2655" s="128" t="s">
        <v>78</v>
      </c>
      <c r="E2655" s="193">
        <f>E2647</f>
        <v>0.44999999999999996</v>
      </c>
      <c r="F2655" s="128" t="s">
        <v>78</v>
      </c>
      <c r="G2655" s="193">
        <f>I2647</f>
        <v>1</v>
      </c>
      <c r="H2655" s="128" t="s">
        <v>95</v>
      </c>
      <c r="I2655" s="193">
        <f>C2655*E2655*G2655</f>
        <v>99.688499999999991</v>
      </c>
      <c r="J2655" s="128" t="s">
        <v>42</v>
      </c>
      <c r="P2655" s="339"/>
    </row>
    <row r="2656" spans="1:17" ht="14.25" customHeight="1">
      <c r="A2656" s="190"/>
      <c r="C2656" s="193"/>
      <c r="E2656" s="193"/>
      <c r="G2656" s="193"/>
      <c r="I2656" s="193"/>
      <c r="P2656" s="339"/>
    </row>
    <row r="2657" spans="1:17" ht="14.25" customHeight="1">
      <c r="A2657" s="190"/>
      <c r="B2657" s="191" t="s">
        <v>80</v>
      </c>
      <c r="C2657" s="192">
        <f>SUM(I2654:I2655)</f>
        <v>109.28849999999998</v>
      </c>
      <c r="D2657" s="191" t="s">
        <v>42</v>
      </c>
      <c r="E2657" s="193"/>
      <c r="G2657" s="192"/>
      <c r="H2657" s="191"/>
      <c r="P2657" s="339"/>
    </row>
    <row r="2658" spans="1:17" ht="14.25" customHeight="1">
      <c r="A2658" s="190"/>
      <c r="C2658" s="193"/>
      <c r="E2658" s="193"/>
      <c r="G2658" s="193"/>
      <c r="P2658" s="339"/>
    </row>
    <row r="2659" spans="1:17" ht="14.25" customHeight="1">
      <c r="A2659" s="245" t="s">
        <v>445</v>
      </c>
      <c r="B2659" s="553" t="s">
        <v>108</v>
      </c>
      <c r="C2659" s="550"/>
      <c r="D2659" s="550"/>
      <c r="E2659" s="550"/>
      <c r="F2659" s="550"/>
      <c r="G2659" s="550"/>
      <c r="H2659" s="550"/>
      <c r="I2659" s="550"/>
      <c r="J2659" s="550"/>
      <c r="K2659" s="550"/>
      <c r="L2659" s="550"/>
      <c r="M2659" s="550"/>
      <c r="N2659" s="550"/>
      <c r="O2659" s="346">
        <v>93382</v>
      </c>
    </row>
    <row r="2660" spans="1:17" ht="14.25" customHeight="1">
      <c r="A2660" s="190"/>
      <c r="C2660" s="193"/>
      <c r="E2660" s="193"/>
      <c r="G2660" s="193"/>
      <c r="P2660" s="339"/>
    </row>
    <row r="2661" spans="1:17" ht="14.25" customHeight="1">
      <c r="A2661" s="190"/>
      <c r="B2661" s="272" t="s">
        <v>109</v>
      </c>
      <c r="P2661" s="339"/>
    </row>
    <row r="2662" spans="1:17" ht="14.25" customHeight="1">
      <c r="A2662" s="190"/>
      <c r="C2662" s="193"/>
      <c r="E2662" s="193"/>
      <c r="G2662" s="193"/>
      <c r="P2662" s="339"/>
    </row>
    <row r="2663" spans="1:17" ht="14.25" customHeight="1">
      <c r="A2663" s="190"/>
      <c r="C2663" s="193" t="s">
        <v>91</v>
      </c>
      <c r="E2663" s="193"/>
      <c r="G2663" s="193"/>
      <c r="H2663" s="294"/>
      <c r="P2663" s="339"/>
    </row>
    <row r="2664" spans="1:17" ht="14.25" customHeight="1">
      <c r="A2664" s="190"/>
      <c r="B2664" s="128" t="s">
        <v>110</v>
      </c>
      <c r="C2664" s="193">
        <f>C2649</f>
        <v>32.786549999999998</v>
      </c>
      <c r="D2664" s="128" t="s">
        <v>44</v>
      </c>
      <c r="E2664" s="193"/>
      <c r="G2664" s="193"/>
      <c r="P2664" s="339"/>
    </row>
    <row r="2665" spans="1:17" ht="14.25" customHeight="1">
      <c r="A2665" s="190"/>
      <c r="C2665" s="193"/>
      <c r="E2665" s="193"/>
      <c r="G2665" s="193"/>
      <c r="P2665" s="339"/>
    </row>
    <row r="2666" spans="1:17" ht="14.25" customHeight="1">
      <c r="A2666" s="190"/>
      <c r="B2666" s="128" t="s">
        <v>111</v>
      </c>
      <c r="C2666" s="193"/>
      <c r="E2666" s="193"/>
      <c r="G2666" s="193"/>
      <c r="P2666" s="339"/>
    </row>
    <row r="2667" spans="1:17" ht="14.25" customHeight="1">
      <c r="A2667" s="190"/>
      <c r="C2667" s="193"/>
      <c r="E2667" s="193"/>
      <c r="G2667" s="193"/>
      <c r="P2667" s="339"/>
    </row>
    <row r="2668" spans="1:17" ht="14.25" customHeight="1">
      <c r="A2668" s="190"/>
      <c r="C2668" s="193" t="s">
        <v>75</v>
      </c>
      <c r="E2668" s="193" t="s">
        <v>86</v>
      </c>
      <c r="G2668" s="128" t="s">
        <v>107</v>
      </c>
      <c r="I2668" s="128" t="s">
        <v>87</v>
      </c>
      <c r="K2668" s="193" t="s">
        <v>91</v>
      </c>
      <c r="L2668" s="191"/>
      <c r="P2668" s="339"/>
    </row>
    <row r="2669" spans="1:17" ht="14.25" customHeight="1">
      <c r="A2669" s="307" t="s">
        <v>98</v>
      </c>
      <c r="B2669" s="128" t="s">
        <v>261</v>
      </c>
      <c r="C2669" s="193">
        <f>C2646</f>
        <v>0.4</v>
      </c>
      <c r="D2669" s="128" t="s">
        <v>78</v>
      </c>
      <c r="E2669" s="193">
        <f>E2646</f>
        <v>0.3</v>
      </c>
      <c r="F2669" s="128" t="s">
        <v>78</v>
      </c>
      <c r="G2669" s="193">
        <f>G2646</f>
        <v>0.3</v>
      </c>
      <c r="H2669" s="128" t="s">
        <v>78</v>
      </c>
      <c r="I2669" s="193">
        <f>I2646</f>
        <v>80</v>
      </c>
      <c r="J2669" s="128" t="s">
        <v>95</v>
      </c>
      <c r="K2669" s="193">
        <f>C2669*E2669*G2669*I2669</f>
        <v>2.88</v>
      </c>
      <c r="L2669" s="128" t="s">
        <v>44</v>
      </c>
      <c r="P2669" s="339"/>
    </row>
    <row r="2670" spans="1:17" ht="14.25" customHeight="1">
      <c r="A2670" s="307" t="s">
        <v>98</v>
      </c>
      <c r="B2670" s="128" t="s">
        <v>355</v>
      </c>
      <c r="C2670" s="193">
        <f>C2647</f>
        <v>221.53</v>
      </c>
      <c r="D2670" s="128" t="s">
        <v>78</v>
      </c>
      <c r="E2670" s="193">
        <f>0.15</f>
        <v>0.15</v>
      </c>
      <c r="F2670" s="128" t="s">
        <v>78</v>
      </c>
      <c r="G2670" s="193">
        <f>G2647</f>
        <v>0.3</v>
      </c>
      <c r="H2670" s="128" t="s">
        <v>78</v>
      </c>
      <c r="I2670" s="193">
        <f>I2647</f>
        <v>1</v>
      </c>
      <c r="J2670" s="128" t="s">
        <v>95</v>
      </c>
      <c r="K2670" s="193">
        <f>C2670*E2670*G2670*I2670</f>
        <v>9.9688499999999998</v>
      </c>
      <c r="L2670" s="128" t="s">
        <v>44</v>
      </c>
      <c r="P2670" s="339"/>
      <c r="Q2670" s="129"/>
    </row>
    <row r="2671" spans="1:17" ht="14.25" customHeight="1">
      <c r="A2671" s="190"/>
      <c r="C2671" s="193"/>
      <c r="E2671" s="193"/>
      <c r="G2671" s="193"/>
      <c r="I2671" s="193"/>
      <c r="P2671" s="339"/>
    </row>
    <row r="2672" spans="1:17" ht="14.25">
      <c r="A2672" s="190"/>
      <c r="B2672" s="307" t="s">
        <v>92</v>
      </c>
      <c r="C2672" s="193">
        <f>SUM(K2669:K2670)</f>
        <v>12.848849999999999</v>
      </c>
      <c r="D2672" s="307" t="s">
        <v>44</v>
      </c>
      <c r="E2672" s="193"/>
      <c r="G2672" s="193"/>
      <c r="K2672" s="193"/>
      <c r="P2672" s="339"/>
      <c r="Q2672" s="187"/>
    </row>
    <row r="2673" spans="1:17" ht="14.25">
      <c r="A2673" s="190"/>
      <c r="B2673" s="190"/>
      <c r="C2673" s="193"/>
      <c r="D2673" s="190"/>
      <c r="E2673" s="193"/>
      <c r="G2673" s="193"/>
      <c r="K2673" s="193"/>
      <c r="P2673" s="339"/>
      <c r="Q2673" s="187"/>
    </row>
    <row r="2674" spans="1:17" ht="14.25">
      <c r="A2674" s="190"/>
      <c r="B2674" s="190"/>
      <c r="C2674" s="193" t="s">
        <v>77</v>
      </c>
      <c r="D2674" s="190"/>
      <c r="E2674" s="193" t="s">
        <v>1278</v>
      </c>
      <c r="G2674" s="193" t="s">
        <v>91</v>
      </c>
      <c r="K2674" s="193"/>
      <c r="P2674" s="339"/>
      <c r="Q2674" s="187"/>
    </row>
    <row r="2675" spans="1:17" ht="14.25">
      <c r="A2675" s="190"/>
      <c r="B2675" s="190" t="s">
        <v>1277</v>
      </c>
      <c r="C2675" s="193">
        <f>C2694</f>
        <v>99.688499999999991</v>
      </c>
      <c r="D2675" s="190" t="s">
        <v>103</v>
      </c>
      <c r="E2675" s="193">
        <v>0.05</v>
      </c>
      <c r="F2675" s="128" t="s">
        <v>79</v>
      </c>
      <c r="G2675" s="193">
        <f>C2675*E2675</f>
        <v>4.9844249999999999</v>
      </c>
      <c r="H2675" s="128" t="s">
        <v>44</v>
      </c>
      <c r="K2675" s="193"/>
      <c r="P2675" s="339"/>
      <c r="Q2675" s="187"/>
    </row>
    <row r="2676" spans="1:17" ht="14.25">
      <c r="A2676" s="190"/>
      <c r="B2676" s="190"/>
      <c r="C2676" s="193"/>
      <c r="D2676" s="190"/>
      <c r="E2676" s="193"/>
      <c r="G2676" s="193"/>
      <c r="K2676" s="193"/>
      <c r="P2676" s="339"/>
      <c r="Q2676" s="187"/>
    </row>
    <row r="2677" spans="1:17" ht="14.25">
      <c r="A2677" s="190"/>
      <c r="B2677" s="190"/>
      <c r="C2677" s="307" t="s">
        <v>256</v>
      </c>
      <c r="D2677" s="190"/>
      <c r="E2677" s="190"/>
      <c r="F2677" s="307" t="s">
        <v>257</v>
      </c>
      <c r="G2677" s="190"/>
      <c r="H2677" s="307" t="s">
        <v>91</v>
      </c>
      <c r="I2677" s="190"/>
      <c r="J2677" s="190"/>
      <c r="K2677" s="190"/>
      <c r="L2677" s="190"/>
      <c r="P2677" s="339"/>
    </row>
    <row r="2678" spans="1:17" ht="14.25">
      <c r="A2678" s="190"/>
      <c r="B2678" s="307" t="s">
        <v>258</v>
      </c>
      <c r="C2678" s="193">
        <f>C2664</f>
        <v>32.786549999999998</v>
      </c>
      <c r="D2678" s="307" t="s">
        <v>44</v>
      </c>
      <c r="E2678" s="308" t="s">
        <v>259</v>
      </c>
      <c r="F2678" s="193">
        <f>C2672+G2675</f>
        <v>17.833275</v>
      </c>
      <c r="G2678" s="307" t="s">
        <v>94</v>
      </c>
      <c r="H2678" s="193">
        <f>C2678-F2678</f>
        <v>14.953274999999998</v>
      </c>
      <c r="I2678" s="307" t="s">
        <v>44</v>
      </c>
      <c r="J2678" s="190"/>
      <c r="K2678" s="190"/>
      <c r="L2678" s="190"/>
      <c r="P2678" s="339"/>
    </row>
    <row r="2679" spans="1:17" ht="14.25" customHeight="1">
      <c r="A2679" s="190"/>
      <c r="B2679" s="190"/>
      <c r="C2679" s="190"/>
      <c r="D2679" s="190"/>
      <c r="E2679" s="190"/>
      <c r="F2679" s="190"/>
      <c r="G2679" s="190"/>
      <c r="H2679" s="190"/>
      <c r="I2679" s="190"/>
      <c r="J2679" s="190"/>
      <c r="K2679" s="190"/>
      <c r="L2679" s="190"/>
      <c r="P2679" s="339"/>
    </row>
    <row r="2680" spans="1:17" ht="14.25" customHeight="1">
      <c r="A2680" s="190"/>
      <c r="B2680" s="191" t="s">
        <v>80</v>
      </c>
      <c r="C2680" s="192">
        <f>H2678</f>
        <v>14.953274999999998</v>
      </c>
      <c r="D2680" s="191" t="s">
        <v>44</v>
      </c>
      <c r="E2680" s="193"/>
      <c r="G2680" s="192"/>
      <c r="H2680" s="191"/>
      <c r="P2680" s="339"/>
    </row>
    <row r="2681" spans="1:17" ht="14.25" customHeight="1">
      <c r="A2681" s="190"/>
      <c r="C2681" s="193"/>
      <c r="E2681" s="193"/>
      <c r="G2681" s="193"/>
    </row>
    <row r="2682" spans="1:17" ht="14.25" customHeight="1">
      <c r="A2682" s="245" t="s">
        <v>444</v>
      </c>
      <c r="B2682" s="544" t="s">
        <v>1090</v>
      </c>
      <c r="C2682" s="550"/>
      <c r="D2682" s="550"/>
      <c r="E2682" s="550"/>
      <c r="F2682" s="550"/>
      <c r="G2682" s="550"/>
      <c r="H2682" s="550"/>
      <c r="I2682" s="550"/>
      <c r="J2682" s="550"/>
      <c r="K2682" s="550"/>
      <c r="L2682" s="550"/>
      <c r="M2682" s="550"/>
      <c r="N2682" s="550"/>
      <c r="O2682" s="339">
        <v>103800</v>
      </c>
      <c r="P2682" s="347"/>
    </row>
    <row r="2683" spans="1:17" ht="14.25" customHeight="1">
      <c r="A2683" s="190"/>
      <c r="C2683" s="193"/>
      <c r="E2683" s="193"/>
      <c r="G2683" s="193"/>
      <c r="O2683" s="347"/>
      <c r="P2683" s="339"/>
    </row>
    <row r="2684" spans="1:17" ht="14.25" customHeight="1">
      <c r="A2684" s="190"/>
      <c r="C2684" s="193" t="s">
        <v>75</v>
      </c>
      <c r="E2684" s="193" t="s">
        <v>86</v>
      </c>
      <c r="G2684" s="128" t="s">
        <v>107</v>
      </c>
      <c r="I2684" s="128" t="s">
        <v>87</v>
      </c>
      <c r="K2684" s="193" t="s">
        <v>91</v>
      </c>
      <c r="L2684" s="191"/>
      <c r="P2684" s="339"/>
    </row>
    <row r="2685" spans="1:17" ht="15" customHeight="1">
      <c r="A2685" s="307" t="s">
        <v>98</v>
      </c>
      <c r="B2685" s="128" t="s">
        <v>261</v>
      </c>
      <c r="C2685" s="193">
        <f>C2669</f>
        <v>0.4</v>
      </c>
      <c r="D2685" s="128" t="s">
        <v>78</v>
      </c>
      <c r="E2685" s="193">
        <f>E2669</f>
        <v>0.3</v>
      </c>
      <c r="F2685" s="128" t="s">
        <v>78</v>
      </c>
      <c r="G2685" s="193">
        <f>0.3</f>
        <v>0.3</v>
      </c>
      <c r="H2685" s="128" t="s">
        <v>78</v>
      </c>
      <c r="I2685" s="193">
        <f>I2669</f>
        <v>80</v>
      </c>
      <c r="J2685" s="128" t="s">
        <v>95</v>
      </c>
      <c r="K2685" s="193">
        <f>C2685*E2685*G2685*I2685</f>
        <v>2.88</v>
      </c>
      <c r="L2685" s="128" t="s">
        <v>44</v>
      </c>
      <c r="P2685" s="339"/>
      <c r="Q2685" s="187"/>
    </row>
    <row r="2686" spans="1:17" ht="14.25" customHeight="1">
      <c r="A2686" s="312"/>
      <c r="C2686" s="193"/>
      <c r="I2686" s="313"/>
      <c r="J2686" s="129"/>
      <c r="K2686" s="187"/>
      <c r="L2686" s="187"/>
      <c r="M2686" s="129"/>
      <c r="N2686" s="129"/>
      <c r="O2686" s="347"/>
      <c r="P2686" s="346"/>
    </row>
    <row r="2687" spans="1:17">
      <c r="A2687" s="199"/>
      <c r="B2687" s="191" t="s">
        <v>92</v>
      </c>
      <c r="C2687" s="274">
        <f>K2685</f>
        <v>2.88</v>
      </c>
      <c r="D2687" s="191" t="s">
        <v>44</v>
      </c>
      <c r="E2687" s="193"/>
      <c r="G2687" s="193"/>
      <c r="I2687" s="129"/>
      <c r="J2687" s="187"/>
      <c r="K2687" s="129"/>
      <c r="L2687" s="129"/>
      <c r="M2687" s="129"/>
      <c r="N2687" s="129"/>
      <c r="O2687" s="347"/>
      <c r="P2687" s="358"/>
    </row>
    <row r="2688" spans="1:17" ht="14.25" customHeight="1">
      <c r="A2688" s="312"/>
      <c r="B2688" s="187"/>
      <c r="C2688" s="187"/>
      <c r="D2688" s="187"/>
      <c r="E2688" s="187"/>
      <c r="F2688" s="187"/>
      <c r="G2688" s="313"/>
      <c r="H2688" s="129"/>
      <c r="I2688" s="313"/>
      <c r="J2688" s="129"/>
      <c r="K2688" s="187"/>
      <c r="L2688" s="187"/>
      <c r="M2688" s="129"/>
      <c r="N2688" s="129"/>
      <c r="O2688" s="347"/>
      <c r="P2688" s="346"/>
    </row>
    <row r="2689" spans="1:17" ht="14.25" customHeight="1">
      <c r="A2689" s="245" t="s">
        <v>253</v>
      </c>
      <c r="B2689" s="544" t="s">
        <v>115</v>
      </c>
      <c r="C2689" s="550"/>
      <c r="D2689" s="550"/>
      <c r="E2689" s="550"/>
      <c r="F2689" s="550"/>
      <c r="G2689" s="550"/>
      <c r="H2689" s="550"/>
      <c r="I2689" s="550"/>
      <c r="J2689" s="550"/>
      <c r="K2689" s="550"/>
      <c r="L2689" s="550"/>
      <c r="M2689" s="550"/>
      <c r="N2689" s="550"/>
      <c r="O2689" s="339">
        <v>96619</v>
      </c>
      <c r="P2689" s="347"/>
    </row>
    <row r="2690" spans="1:17" ht="14.25" customHeight="1">
      <c r="A2690" s="190"/>
      <c r="C2690" s="193"/>
      <c r="E2690" s="193"/>
      <c r="G2690" s="193"/>
      <c r="O2690" s="347"/>
      <c r="P2690" s="339"/>
    </row>
    <row r="2691" spans="1:17" ht="14.25" customHeight="1">
      <c r="A2691" s="190"/>
      <c r="C2691" s="193" t="s">
        <v>75</v>
      </c>
      <c r="E2691" s="193" t="s">
        <v>86</v>
      </c>
      <c r="G2691" s="128" t="s">
        <v>87</v>
      </c>
      <c r="I2691" s="193" t="s">
        <v>77</v>
      </c>
      <c r="J2691" s="191"/>
      <c r="P2691" s="339"/>
    </row>
    <row r="2692" spans="1:17" ht="15" customHeight="1">
      <c r="A2692" s="307"/>
      <c r="B2692" s="128" t="s">
        <v>355</v>
      </c>
      <c r="C2692" s="193">
        <f>C2670</f>
        <v>221.53</v>
      </c>
      <c r="D2692" s="128" t="s">
        <v>78</v>
      </c>
      <c r="E2692" s="193">
        <f>E2647</f>
        <v>0.44999999999999996</v>
      </c>
      <c r="F2692" s="128" t="s">
        <v>78</v>
      </c>
      <c r="G2692" s="193">
        <f>I2670</f>
        <v>1</v>
      </c>
      <c r="H2692" s="128" t="s">
        <v>95</v>
      </c>
      <c r="I2692" s="193">
        <f>C2692*E2692*G2692</f>
        <v>99.688499999999991</v>
      </c>
      <c r="J2692" s="128" t="s">
        <v>42</v>
      </c>
      <c r="P2692" s="339"/>
      <c r="Q2692" s="187"/>
    </row>
    <row r="2693" spans="1:17" ht="14.25" customHeight="1">
      <c r="A2693" s="312"/>
      <c r="C2693" s="193"/>
      <c r="I2693" s="313"/>
      <c r="J2693" s="129"/>
      <c r="K2693" s="187"/>
      <c r="L2693" s="187"/>
      <c r="M2693" s="129"/>
      <c r="N2693" s="129"/>
      <c r="O2693" s="347"/>
      <c r="P2693" s="346"/>
    </row>
    <row r="2694" spans="1:17" ht="14.25" customHeight="1">
      <c r="A2694" s="199"/>
      <c r="B2694" s="191" t="s">
        <v>92</v>
      </c>
      <c r="C2694" s="274">
        <f>SUM(I2692:I2692)</f>
        <v>99.688499999999991</v>
      </c>
      <c r="D2694" s="191" t="s">
        <v>42</v>
      </c>
      <c r="E2694" s="193"/>
      <c r="G2694" s="193"/>
      <c r="I2694" s="129"/>
      <c r="J2694" s="187"/>
      <c r="K2694" s="129"/>
      <c r="L2694" s="129"/>
      <c r="M2694" s="129"/>
      <c r="N2694" s="129"/>
      <c r="O2694" s="347"/>
      <c r="P2694" s="358"/>
    </row>
    <row r="2695" spans="1:17" ht="14.25" customHeight="1">
      <c r="A2695" s="312"/>
      <c r="B2695" s="187"/>
      <c r="C2695" s="187"/>
      <c r="D2695" s="187"/>
      <c r="E2695" s="187"/>
      <c r="F2695" s="187"/>
      <c r="G2695" s="313"/>
      <c r="H2695" s="129"/>
      <c r="I2695" s="313"/>
      <c r="J2695" s="129"/>
      <c r="K2695" s="187"/>
      <c r="L2695" s="187"/>
      <c r="M2695" s="129"/>
      <c r="N2695" s="129"/>
      <c r="O2695" s="347"/>
      <c r="P2695" s="346"/>
    </row>
    <row r="2696" spans="1:17" ht="14.25" customHeight="1">
      <c r="A2696" s="245" t="s">
        <v>872</v>
      </c>
      <c r="B2696" s="544" t="s">
        <v>356</v>
      </c>
      <c r="C2696" s="550"/>
      <c r="D2696" s="550"/>
      <c r="E2696" s="550"/>
      <c r="F2696" s="550"/>
      <c r="G2696" s="550"/>
      <c r="H2696" s="550"/>
      <c r="I2696" s="550"/>
      <c r="J2696" s="550"/>
      <c r="K2696" s="550"/>
      <c r="L2696" s="550"/>
      <c r="M2696" s="550"/>
      <c r="N2696" s="550"/>
      <c r="O2696" s="346">
        <v>96533</v>
      </c>
      <c r="P2696" s="347"/>
    </row>
    <row r="2697" spans="1:17" ht="14.25" customHeight="1">
      <c r="A2697" s="194"/>
      <c r="B2697" s="246"/>
      <c r="C2697" s="246"/>
      <c r="D2697" s="246"/>
      <c r="E2697" s="246"/>
      <c r="F2697" s="246"/>
      <c r="G2697" s="246"/>
      <c r="H2697" s="246"/>
      <c r="I2697" s="246"/>
      <c r="J2697" s="246"/>
      <c r="K2697" s="246"/>
      <c r="L2697" s="246"/>
      <c r="M2697" s="246"/>
      <c r="N2697" s="246"/>
      <c r="O2697" s="257"/>
      <c r="P2697" s="346"/>
    </row>
    <row r="2698" spans="1:17" ht="14.25" customHeight="1">
      <c r="A2698" s="190"/>
      <c r="C2698" s="193" t="s">
        <v>77</v>
      </c>
      <c r="D2698" s="191"/>
      <c r="P2698" s="339"/>
    </row>
    <row r="2699" spans="1:17" ht="14.25" customHeight="1">
      <c r="A2699" s="307" t="s">
        <v>98</v>
      </c>
      <c r="B2699" s="128" t="s">
        <v>355</v>
      </c>
      <c r="C2699" s="193">
        <v>138</v>
      </c>
      <c r="D2699" s="128" t="s">
        <v>42</v>
      </c>
      <c r="E2699" s="193"/>
      <c r="G2699" s="193"/>
      <c r="P2699" s="339"/>
    </row>
    <row r="2700" spans="1:17" ht="14.25" customHeight="1">
      <c r="A2700" s="199"/>
      <c r="C2700" s="193"/>
      <c r="E2700" s="193"/>
      <c r="G2700" s="193"/>
      <c r="I2700" s="129"/>
      <c r="J2700" s="187"/>
      <c r="K2700" s="129"/>
      <c r="L2700" s="129"/>
      <c r="M2700" s="129"/>
      <c r="N2700" s="129"/>
      <c r="O2700" s="347"/>
      <c r="P2700" s="358"/>
    </row>
    <row r="2701" spans="1:17">
      <c r="A2701" s="199"/>
      <c r="B2701" s="191" t="s">
        <v>92</v>
      </c>
      <c r="C2701" s="192">
        <f>C2699</f>
        <v>138</v>
      </c>
      <c r="D2701" s="191" t="s">
        <v>42</v>
      </c>
      <c r="E2701" s="193"/>
      <c r="G2701" s="193"/>
      <c r="I2701" s="129"/>
      <c r="J2701" s="187"/>
      <c r="K2701" s="129"/>
      <c r="L2701" s="129"/>
      <c r="M2701" s="129"/>
      <c r="N2701" s="129"/>
      <c r="O2701" s="347"/>
      <c r="P2701" s="358"/>
    </row>
    <row r="2702" spans="1:17" ht="14.25" customHeight="1">
      <c r="A2702" s="199"/>
      <c r="C2702" s="193"/>
      <c r="E2702" s="193"/>
      <c r="G2702" s="193"/>
      <c r="I2702" s="129"/>
      <c r="J2702" s="187"/>
      <c r="K2702" s="129"/>
      <c r="L2702" s="129"/>
      <c r="M2702" s="129"/>
      <c r="N2702" s="129"/>
      <c r="O2702" s="347"/>
      <c r="P2702" s="358"/>
    </row>
    <row r="2703" spans="1:17" ht="14.25" customHeight="1">
      <c r="A2703" s="245" t="s">
        <v>873</v>
      </c>
      <c r="B2703" s="544" t="s">
        <v>105</v>
      </c>
      <c r="C2703" s="550"/>
      <c r="D2703" s="550"/>
      <c r="E2703" s="550"/>
      <c r="F2703" s="550"/>
      <c r="G2703" s="550"/>
      <c r="H2703" s="550"/>
      <c r="I2703" s="550"/>
      <c r="J2703" s="550"/>
      <c r="K2703" s="550"/>
      <c r="L2703" s="550"/>
      <c r="M2703" s="550"/>
      <c r="N2703" s="550"/>
      <c r="O2703" s="252">
        <v>98557</v>
      </c>
      <c r="P2703" s="350"/>
    </row>
    <row r="2704" spans="1:17" ht="14.25" customHeight="1">
      <c r="A2704" s="190"/>
      <c r="C2704" s="193"/>
      <c r="E2704" s="193"/>
      <c r="G2704" s="193"/>
      <c r="P2704" s="339"/>
    </row>
    <row r="2705" spans="1:33" ht="14.25" customHeight="1">
      <c r="A2705" s="190"/>
      <c r="C2705" s="193" t="s">
        <v>75</v>
      </c>
      <c r="E2705" s="128" t="s">
        <v>76</v>
      </c>
      <c r="G2705" s="193" t="s">
        <v>77</v>
      </c>
      <c r="H2705" s="191"/>
      <c r="P2705" s="339"/>
    </row>
    <row r="2706" spans="1:33" ht="14.25" customHeight="1">
      <c r="A2706" s="307" t="s">
        <v>98</v>
      </c>
      <c r="B2706" s="128" t="s">
        <v>355</v>
      </c>
      <c r="C2706" s="193">
        <f>C2670</f>
        <v>221.53</v>
      </c>
      <c r="D2706" s="128" t="s">
        <v>78</v>
      </c>
      <c r="E2706" s="193">
        <f>G2670*2+E2670</f>
        <v>0.75</v>
      </c>
      <c r="F2706" s="128" t="s">
        <v>79</v>
      </c>
      <c r="G2706" s="193">
        <f>C2706*E2706</f>
        <v>166.14750000000001</v>
      </c>
      <c r="H2706" s="128" t="s">
        <v>42</v>
      </c>
      <c r="P2706" s="339"/>
    </row>
    <row r="2707" spans="1:33" ht="14.25" customHeight="1">
      <c r="A2707" s="190"/>
      <c r="C2707" s="193"/>
      <c r="E2707" s="193"/>
      <c r="G2707" s="193"/>
      <c r="I2707" s="193"/>
      <c r="K2707" s="193"/>
      <c r="P2707" s="339"/>
    </row>
    <row r="2708" spans="1:33" ht="14.25" customHeight="1">
      <c r="A2708" s="190"/>
      <c r="B2708" s="191" t="s">
        <v>92</v>
      </c>
      <c r="C2708" s="192">
        <f>SUM(G2706:G2706)</f>
        <v>166.14750000000001</v>
      </c>
      <c r="D2708" s="191" t="s">
        <v>42</v>
      </c>
      <c r="E2708" s="193"/>
      <c r="G2708" s="193"/>
      <c r="I2708" s="193"/>
      <c r="K2708" s="193"/>
      <c r="P2708" s="339"/>
    </row>
    <row r="2709" spans="1:33" ht="14.25" customHeight="1">
      <c r="A2709" s="190"/>
      <c r="C2709" s="193"/>
      <c r="E2709" s="193"/>
      <c r="G2709" s="193"/>
      <c r="P2709" s="339"/>
    </row>
    <row r="2710" spans="1:33" ht="14.25" customHeight="1">
      <c r="A2710" s="245" t="s">
        <v>874</v>
      </c>
      <c r="B2710" s="553" t="s">
        <v>496</v>
      </c>
      <c r="C2710" s="550"/>
      <c r="D2710" s="550"/>
      <c r="E2710" s="550"/>
      <c r="F2710" s="550"/>
      <c r="G2710" s="550"/>
      <c r="H2710" s="550"/>
      <c r="I2710" s="550"/>
      <c r="J2710" s="550"/>
      <c r="K2710" s="550"/>
      <c r="L2710" s="550"/>
      <c r="M2710" s="550"/>
      <c r="N2710" s="550"/>
      <c r="O2710" s="346">
        <v>94965</v>
      </c>
    </row>
    <row r="2711" spans="1:33" ht="14.25" customHeight="1">
      <c r="A2711" s="195"/>
      <c r="B2711" s="327"/>
      <c r="C2711" s="196"/>
      <c r="D2711" s="196"/>
      <c r="E2711" s="196"/>
      <c r="F2711" s="196"/>
      <c r="G2711" s="196"/>
      <c r="H2711" s="196"/>
      <c r="I2711" s="196"/>
      <c r="J2711" s="196"/>
      <c r="K2711" s="196"/>
      <c r="L2711" s="196"/>
      <c r="M2711" s="196"/>
      <c r="N2711" s="196"/>
      <c r="O2711" s="346"/>
    </row>
    <row r="2712" spans="1:33" ht="14.25" customHeight="1">
      <c r="A2712" s="307"/>
      <c r="B2712" s="191"/>
      <c r="C2712" s="193" t="s">
        <v>91</v>
      </c>
      <c r="E2712" s="193"/>
      <c r="G2712" s="193"/>
      <c r="I2712" s="193"/>
      <c r="K2712" s="193"/>
      <c r="P2712" s="339"/>
      <c r="Q2712" s="272"/>
    </row>
    <row r="2713" spans="1:33" ht="14.25">
      <c r="A2713" s="199"/>
      <c r="B2713" s="128" t="s">
        <v>120</v>
      </c>
      <c r="C2713" s="193">
        <v>6.08</v>
      </c>
      <c r="D2713" s="128" t="s">
        <v>44</v>
      </c>
      <c r="E2713" s="193"/>
      <c r="G2713" s="193"/>
      <c r="I2713" s="187"/>
      <c r="K2713" s="187"/>
      <c r="L2713" s="129"/>
      <c r="M2713" s="129"/>
      <c r="N2713" s="129"/>
      <c r="O2713" s="347"/>
      <c r="P2713" s="358"/>
    </row>
    <row r="2714" spans="1:33" ht="14.25">
      <c r="A2714" s="190"/>
      <c r="C2714" s="193"/>
      <c r="E2714" s="193"/>
      <c r="G2714" s="193"/>
      <c r="P2714" s="339"/>
      <c r="R2714" s="129"/>
      <c r="S2714" s="129"/>
      <c r="T2714" s="129"/>
      <c r="U2714" s="129"/>
      <c r="V2714" s="129"/>
      <c r="W2714" s="129"/>
      <c r="X2714" s="129"/>
      <c r="Y2714" s="129"/>
      <c r="Z2714" s="129"/>
      <c r="AA2714" s="129"/>
      <c r="AB2714" s="129"/>
      <c r="AC2714" s="129"/>
      <c r="AD2714" s="129"/>
      <c r="AE2714" s="129"/>
      <c r="AF2714" s="129"/>
      <c r="AG2714" s="129"/>
    </row>
    <row r="2715" spans="1:33" ht="14.25" customHeight="1">
      <c r="A2715" s="190"/>
      <c r="B2715" s="191" t="s">
        <v>92</v>
      </c>
      <c r="C2715" s="192">
        <f>C2713</f>
        <v>6.08</v>
      </c>
      <c r="D2715" s="191" t="s">
        <v>44</v>
      </c>
      <c r="E2715" s="193"/>
      <c r="G2715" s="193"/>
      <c r="H2715" s="294"/>
      <c r="P2715" s="339"/>
      <c r="Q2715" s="317"/>
      <c r="R2715" s="129"/>
      <c r="S2715" s="129"/>
      <c r="T2715" s="129"/>
      <c r="U2715" s="129"/>
      <c r="V2715" s="129"/>
      <c r="W2715" s="129"/>
      <c r="X2715" s="129"/>
      <c r="Y2715" s="129"/>
      <c r="Z2715" s="129"/>
      <c r="AA2715" s="129"/>
      <c r="AB2715" s="129"/>
      <c r="AC2715" s="129"/>
      <c r="AD2715" s="129"/>
      <c r="AE2715" s="129"/>
      <c r="AF2715" s="129"/>
      <c r="AG2715" s="129"/>
    </row>
    <row r="2716" spans="1:33" ht="14.25" customHeight="1">
      <c r="A2716" s="312"/>
      <c r="B2716" s="187"/>
      <c r="C2716" s="187"/>
      <c r="D2716" s="187"/>
      <c r="E2716" s="187"/>
      <c r="F2716" s="187"/>
      <c r="G2716" s="313"/>
      <c r="H2716" s="129"/>
      <c r="I2716" s="313"/>
      <c r="J2716" s="129"/>
      <c r="K2716" s="187"/>
      <c r="L2716" s="187"/>
      <c r="M2716" s="129"/>
      <c r="N2716" s="129"/>
      <c r="P2716" s="346"/>
    </row>
    <row r="2717" spans="1:33" ht="14.25" customHeight="1">
      <c r="A2717" s="245" t="s">
        <v>875</v>
      </c>
      <c r="B2717" s="553" t="s">
        <v>497</v>
      </c>
      <c r="C2717" s="550"/>
      <c r="D2717" s="550"/>
      <c r="E2717" s="550"/>
      <c r="F2717" s="550"/>
      <c r="G2717" s="550"/>
      <c r="H2717" s="550"/>
      <c r="I2717" s="550"/>
      <c r="J2717" s="550"/>
      <c r="K2717" s="550"/>
      <c r="L2717" s="550"/>
      <c r="M2717" s="550"/>
      <c r="N2717" s="550"/>
      <c r="O2717" s="346">
        <v>94966</v>
      </c>
    </row>
    <row r="2718" spans="1:33" ht="14.25" customHeight="1">
      <c r="A2718" s="195"/>
      <c r="B2718" s="327"/>
      <c r="C2718" s="196"/>
      <c r="D2718" s="196"/>
      <c r="E2718" s="196"/>
      <c r="F2718" s="196"/>
      <c r="G2718" s="196"/>
      <c r="H2718" s="196"/>
      <c r="I2718" s="196"/>
      <c r="J2718" s="196"/>
      <c r="K2718" s="196"/>
      <c r="L2718" s="196"/>
      <c r="M2718" s="196"/>
      <c r="N2718" s="196"/>
      <c r="O2718" s="346"/>
      <c r="Q2718" s="129"/>
      <c r="R2718" s="129"/>
      <c r="S2718" s="129"/>
      <c r="T2718" s="129"/>
      <c r="U2718" s="129"/>
      <c r="V2718" s="129"/>
      <c r="W2718" s="129"/>
      <c r="X2718" s="129"/>
      <c r="Y2718" s="129"/>
      <c r="Z2718" s="129"/>
      <c r="AA2718" s="129"/>
      <c r="AB2718" s="129"/>
      <c r="AC2718" s="129"/>
      <c r="AD2718" s="129"/>
      <c r="AE2718" s="129"/>
      <c r="AF2718" s="129"/>
      <c r="AG2718" s="129"/>
    </row>
    <row r="2719" spans="1:33" ht="14.25" customHeight="1">
      <c r="A2719" s="190"/>
      <c r="C2719" s="193" t="s">
        <v>75</v>
      </c>
      <c r="E2719" s="193" t="s">
        <v>86</v>
      </c>
      <c r="G2719" s="128" t="s">
        <v>107</v>
      </c>
      <c r="I2719" s="128" t="s">
        <v>87</v>
      </c>
      <c r="K2719" s="193" t="s">
        <v>91</v>
      </c>
      <c r="L2719" s="191"/>
      <c r="P2719" s="339"/>
      <c r="Q2719" s="317"/>
      <c r="R2719" s="129"/>
      <c r="S2719" s="129"/>
      <c r="T2719" s="129"/>
      <c r="U2719" s="129"/>
      <c r="V2719" s="129"/>
      <c r="W2719" s="129"/>
      <c r="X2719" s="129"/>
      <c r="Y2719" s="129"/>
      <c r="Z2719" s="129"/>
      <c r="AA2719" s="129"/>
      <c r="AB2719" s="129"/>
      <c r="AC2719" s="129"/>
      <c r="AD2719" s="129"/>
      <c r="AE2719" s="129"/>
      <c r="AF2719" s="129"/>
      <c r="AG2719" s="129"/>
    </row>
    <row r="2720" spans="1:33" ht="14.25">
      <c r="A2720" s="307" t="s">
        <v>98</v>
      </c>
      <c r="B2720" s="128" t="s">
        <v>355</v>
      </c>
      <c r="C2720" s="193">
        <f>C2670</f>
        <v>221.53</v>
      </c>
      <c r="D2720" s="128" t="s">
        <v>78</v>
      </c>
      <c r="E2720" s="193">
        <f>E2670</f>
        <v>0.15</v>
      </c>
      <c r="F2720" s="128" t="s">
        <v>78</v>
      </c>
      <c r="G2720" s="193">
        <v>0.25</v>
      </c>
      <c r="H2720" s="128" t="s">
        <v>78</v>
      </c>
      <c r="I2720" s="193">
        <f>I2670</f>
        <v>1</v>
      </c>
      <c r="J2720" s="128" t="s">
        <v>95</v>
      </c>
      <c r="K2720" s="193">
        <f>C2720*E2720*G2720*I2720</f>
        <v>8.3073750000000004</v>
      </c>
      <c r="L2720" s="128" t="s">
        <v>44</v>
      </c>
      <c r="P2720" s="339"/>
    </row>
    <row r="2721" spans="1:33" ht="14.25">
      <c r="A2721" s="307"/>
      <c r="C2721" s="193"/>
      <c r="E2721" s="193"/>
      <c r="G2721" s="193"/>
      <c r="I2721" s="193"/>
      <c r="K2721" s="193"/>
      <c r="P2721" s="339"/>
      <c r="R2721" s="129"/>
      <c r="S2721" s="129"/>
      <c r="T2721" s="129"/>
      <c r="U2721" s="129"/>
      <c r="V2721" s="129"/>
      <c r="W2721" s="129"/>
      <c r="X2721" s="129"/>
      <c r="Y2721" s="129"/>
      <c r="Z2721" s="129"/>
      <c r="AA2721" s="129"/>
      <c r="AB2721" s="129"/>
      <c r="AC2721" s="129"/>
      <c r="AD2721" s="129"/>
      <c r="AE2721" s="129"/>
      <c r="AF2721" s="129"/>
      <c r="AG2721" s="129"/>
    </row>
    <row r="2722" spans="1:33" ht="14.25" customHeight="1">
      <c r="A2722" s="190"/>
      <c r="B2722" s="191" t="s">
        <v>92</v>
      </c>
      <c r="C2722" s="192">
        <f>K2720</f>
        <v>8.3073750000000004</v>
      </c>
      <c r="D2722" s="191" t="s">
        <v>44</v>
      </c>
      <c r="E2722" s="193"/>
      <c r="G2722" s="193"/>
      <c r="H2722" s="294"/>
      <c r="P2722" s="339"/>
      <c r="Q2722" s="317"/>
      <c r="R2722" s="129"/>
      <c r="S2722" s="129"/>
      <c r="T2722" s="129"/>
      <c r="U2722" s="129"/>
      <c r="V2722" s="129"/>
      <c r="W2722" s="129"/>
      <c r="X2722" s="129"/>
      <c r="Y2722" s="129"/>
      <c r="Z2722" s="129"/>
      <c r="AA2722" s="129"/>
      <c r="AB2722" s="129"/>
      <c r="AC2722" s="129"/>
      <c r="AD2722" s="129"/>
      <c r="AE2722" s="129"/>
      <c r="AF2722" s="129"/>
      <c r="AG2722" s="129"/>
    </row>
    <row r="2723" spans="1:33" ht="14.25" customHeight="1">
      <c r="A2723" s="312"/>
      <c r="B2723" s="187"/>
      <c r="C2723" s="187"/>
      <c r="D2723" s="187"/>
      <c r="E2723" s="187"/>
      <c r="F2723" s="187"/>
      <c r="G2723" s="313"/>
      <c r="H2723" s="129"/>
      <c r="I2723" s="313"/>
      <c r="J2723" s="129"/>
      <c r="K2723" s="187"/>
      <c r="L2723" s="187"/>
      <c r="M2723" s="129"/>
      <c r="N2723" s="129"/>
      <c r="P2723" s="346"/>
    </row>
    <row r="2724" spans="1:33" ht="14.25" customHeight="1">
      <c r="A2724" s="245" t="s">
        <v>876</v>
      </c>
      <c r="B2724" s="553" t="s">
        <v>100</v>
      </c>
      <c r="C2724" s="550"/>
      <c r="D2724" s="550"/>
      <c r="E2724" s="550"/>
      <c r="F2724" s="550"/>
      <c r="G2724" s="550"/>
      <c r="H2724" s="550"/>
      <c r="I2724" s="550"/>
      <c r="J2724" s="550"/>
      <c r="K2724" s="550"/>
      <c r="L2724" s="550"/>
      <c r="M2724" s="550"/>
      <c r="N2724" s="550"/>
      <c r="O2724" s="346">
        <v>103670</v>
      </c>
    </row>
    <row r="2725" spans="1:33" ht="14.25" customHeight="1">
      <c r="A2725" s="190"/>
      <c r="B2725" s="327"/>
      <c r="C2725" s="196"/>
      <c r="D2725" s="196"/>
      <c r="E2725" s="196"/>
      <c r="F2725" s="196"/>
      <c r="G2725" s="196"/>
      <c r="H2725" s="196"/>
      <c r="I2725" s="196"/>
      <c r="J2725" s="196"/>
      <c r="K2725" s="196"/>
      <c r="L2725" s="196"/>
      <c r="M2725" s="196"/>
      <c r="N2725" s="196"/>
      <c r="O2725" s="346"/>
      <c r="Q2725" s="129"/>
      <c r="R2725" s="129"/>
      <c r="S2725" s="129"/>
      <c r="T2725" s="129"/>
      <c r="U2725" s="129"/>
      <c r="V2725" s="129"/>
      <c r="W2725" s="129"/>
      <c r="X2725" s="129"/>
      <c r="Y2725" s="129"/>
      <c r="Z2725" s="129"/>
      <c r="AA2725" s="129"/>
      <c r="AB2725" s="129"/>
      <c r="AC2725" s="129"/>
      <c r="AD2725" s="129"/>
      <c r="AE2725" s="129"/>
      <c r="AF2725" s="129"/>
      <c r="AG2725" s="129"/>
    </row>
    <row r="2726" spans="1:33" ht="14.25" customHeight="1">
      <c r="A2726" s="312"/>
      <c r="C2726" s="193" t="s">
        <v>75</v>
      </c>
      <c r="E2726" s="193" t="s">
        <v>86</v>
      </c>
      <c r="G2726" s="128" t="s">
        <v>107</v>
      </c>
      <c r="I2726" s="128" t="s">
        <v>87</v>
      </c>
      <c r="K2726" s="193" t="s">
        <v>91</v>
      </c>
      <c r="L2726" s="191"/>
      <c r="P2726" s="339"/>
      <c r="Q2726" s="317"/>
      <c r="R2726" s="129"/>
      <c r="S2726" s="129"/>
      <c r="T2726" s="129"/>
      <c r="U2726" s="129"/>
      <c r="V2726" s="129"/>
      <c r="W2726" s="129"/>
      <c r="X2726" s="129"/>
      <c r="Y2726" s="129"/>
      <c r="Z2726" s="129"/>
      <c r="AA2726" s="129"/>
      <c r="AB2726" s="129"/>
      <c r="AC2726" s="129"/>
      <c r="AD2726" s="129"/>
      <c r="AE2726" s="129"/>
      <c r="AF2726" s="129"/>
      <c r="AG2726" s="129"/>
    </row>
    <row r="2727" spans="1:33" ht="14.25">
      <c r="A2727" s="199"/>
      <c r="B2727" s="128" t="s">
        <v>355</v>
      </c>
      <c r="C2727" s="193">
        <f>C2720</f>
        <v>221.53</v>
      </c>
      <c r="D2727" s="128" t="s">
        <v>78</v>
      </c>
      <c r="E2727" s="193">
        <f>E2720</f>
        <v>0.15</v>
      </c>
      <c r="F2727" s="128" t="s">
        <v>78</v>
      </c>
      <c r="G2727" s="193">
        <f>G2720</f>
        <v>0.25</v>
      </c>
      <c r="H2727" s="128" t="s">
        <v>78</v>
      </c>
      <c r="I2727" s="193">
        <f>I2720</f>
        <v>1</v>
      </c>
      <c r="J2727" s="128" t="s">
        <v>95</v>
      </c>
      <c r="K2727" s="193">
        <f>C2727*E2727*G2727*I2727</f>
        <v>8.3073750000000004</v>
      </c>
      <c r="L2727" s="128" t="s">
        <v>44</v>
      </c>
      <c r="P2727" s="339"/>
    </row>
    <row r="2728" spans="1:33" ht="14.25" customHeight="1">
      <c r="A2728" s="199"/>
      <c r="C2728" s="193"/>
      <c r="E2728" s="193"/>
      <c r="G2728" s="193"/>
      <c r="I2728" s="193"/>
      <c r="K2728" s="193"/>
      <c r="P2728" s="339"/>
      <c r="Q2728" s="187"/>
      <c r="S2728" s="129"/>
      <c r="T2728" s="129"/>
      <c r="U2728" s="129"/>
      <c r="V2728" s="129"/>
      <c r="W2728" s="129"/>
      <c r="X2728" s="129"/>
      <c r="Y2728" s="129"/>
      <c r="Z2728" s="129"/>
      <c r="AA2728" s="129"/>
      <c r="AB2728" s="129"/>
      <c r="AC2728" s="129"/>
      <c r="AD2728" s="129"/>
      <c r="AE2728" s="129"/>
      <c r="AF2728" s="129"/>
      <c r="AG2728" s="129"/>
    </row>
    <row r="2729" spans="1:33" ht="14.25" customHeight="1">
      <c r="A2729" s="199"/>
      <c r="B2729" s="191"/>
      <c r="C2729" s="193" t="s">
        <v>91</v>
      </c>
      <c r="E2729" s="193"/>
      <c r="G2729" s="193"/>
      <c r="I2729" s="193"/>
      <c r="K2729" s="193"/>
      <c r="P2729" s="339"/>
    </row>
    <row r="2730" spans="1:33" ht="15.75" customHeight="1">
      <c r="A2730" s="199"/>
      <c r="B2730" s="128" t="s">
        <v>120</v>
      </c>
      <c r="C2730" s="193">
        <f>C2713</f>
        <v>6.08</v>
      </c>
      <c r="D2730" s="128" t="s">
        <v>44</v>
      </c>
      <c r="E2730" s="193"/>
      <c r="G2730" s="193"/>
      <c r="I2730" s="187"/>
      <c r="K2730" s="187"/>
      <c r="L2730" s="129"/>
      <c r="M2730" s="129"/>
      <c r="N2730" s="129"/>
      <c r="O2730" s="347"/>
      <c r="P2730" s="358"/>
    </row>
    <row r="2731" spans="1:33" ht="14.25" customHeight="1">
      <c r="A2731" s="199"/>
      <c r="C2731" s="193"/>
      <c r="E2731" s="193"/>
      <c r="G2731" s="193"/>
      <c r="P2731" s="339"/>
      <c r="Q2731" s="129"/>
      <c r="R2731" s="129"/>
      <c r="S2731" s="129"/>
      <c r="T2731" s="129"/>
      <c r="U2731" s="129"/>
      <c r="V2731" s="129"/>
      <c r="W2731" s="129"/>
      <c r="X2731" s="129"/>
      <c r="Y2731" s="129"/>
      <c r="Z2731" s="129"/>
      <c r="AA2731" s="129"/>
      <c r="AB2731" s="129"/>
      <c r="AC2731" s="129"/>
      <c r="AD2731" s="129"/>
      <c r="AE2731" s="129"/>
      <c r="AF2731" s="129"/>
      <c r="AG2731" s="129"/>
    </row>
    <row r="2732" spans="1:33" ht="14.25" customHeight="1">
      <c r="A2732" s="199"/>
      <c r="B2732" s="191" t="s">
        <v>92</v>
      </c>
      <c r="C2732" s="192">
        <f>K2727+C2730</f>
        <v>14.387375</v>
      </c>
      <c r="D2732" s="191" t="s">
        <v>44</v>
      </c>
      <c r="E2732" s="193"/>
      <c r="G2732" s="193"/>
      <c r="H2732" s="294"/>
      <c r="P2732" s="339"/>
      <c r="Q2732" s="129"/>
      <c r="R2732" s="129"/>
      <c r="S2732" s="129"/>
      <c r="T2732" s="129"/>
      <c r="U2732" s="129"/>
      <c r="V2732" s="129"/>
      <c r="W2732" s="129"/>
      <c r="X2732" s="129"/>
      <c r="Y2732" s="129"/>
      <c r="Z2732" s="129"/>
      <c r="AA2732" s="129"/>
      <c r="AB2732" s="129"/>
      <c r="AC2732" s="129"/>
      <c r="AD2732" s="129"/>
      <c r="AE2732" s="129"/>
      <c r="AF2732" s="129"/>
      <c r="AG2732" s="129"/>
    </row>
    <row r="2733" spans="1:33" ht="14.25" customHeight="1">
      <c r="A2733" s="312"/>
      <c r="B2733" s="187"/>
      <c r="C2733" s="187"/>
      <c r="D2733" s="187"/>
      <c r="E2733" s="187"/>
      <c r="F2733" s="187"/>
      <c r="G2733" s="313"/>
      <c r="H2733" s="129"/>
      <c r="I2733" s="313"/>
      <c r="J2733" s="129"/>
      <c r="K2733" s="187"/>
      <c r="L2733" s="187"/>
      <c r="M2733" s="129"/>
      <c r="N2733" s="129"/>
      <c r="P2733" s="346"/>
      <c r="Q2733" s="129"/>
      <c r="R2733" s="129"/>
      <c r="S2733" s="129"/>
      <c r="T2733" s="129"/>
      <c r="U2733" s="129"/>
      <c r="V2733" s="129"/>
      <c r="W2733" s="129"/>
      <c r="X2733" s="129"/>
      <c r="Y2733" s="129"/>
      <c r="Z2733" s="129"/>
      <c r="AA2733" s="129"/>
      <c r="AB2733" s="129"/>
      <c r="AC2733" s="129"/>
      <c r="AD2733" s="129"/>
      <c r="AE2733" s="129"/>
      <c r="AF2733" s="129"/>
      <c r="AG2733" s="129"/>
    </row>
    <row r="2734" spans="1:33" ht="15" customHeight="1">
      <c r="A2734" s="245" t="s">
        <v>877</v>
      </c>
      <c r="B2734" s="544" t="s">
        <v>202</v>
      </c>
      <c r="C2734" s="550"/>
      <c r="D2734" s="550"/>
      <c r="E2734" s="550"/>
      <c r="F2734" s="550"/>
      <c r="G2734" s="550"/>
      <c r="H2734" s="550"/>
      <c r="I2734" s="550"/>
      <c r="J2734" s="550"/>
      <c r="K2734" s="550"/>
      <c r="L2734" s="550"/>
      <c r="M2734" s="550"/>
      <c r="N2734" s="550"/>
      <c r="O2734" s="339">
        <v>96543</v>
      </c>
      <c r="P2734" s="347"/>
      <c r="Q2734" s="187"/>
    </row>
    <row r="2735" spans="1:33" ht="14.25" customHeight="1">
      <c r="A2735" s="190"/>
      <c r="C2735" s="193"/>
      <c r="E2735" s="193"/>
      <c r="G2735" s="193"/>
      <c r="O2735" s="347"/>
      <c r="P2735" s="339"/>
    </row>
    <row r="2736" spans="1:33" ht="14.25" customHeight="1">
      <c r="A2736" s="312"/>
      <c r="C2736" s="193" t="s">
        <v>101</v>
      </c>
      <c r="I2736" s="313"/>
      <c r="J2736" s="129"/>
      <c r="K2736" s="187"/>
      <c r="L2736" s="187"/>
      <c r="M2736" s="129"/>
      <c r="N2736" s="129"/>
      <c r="O2736" s="347"/>
      <c r="P2736" s="346"/>
    </row>
    <row r="2737" spans="1:33" ht="14.25" customHeight="1">
      <c r="A2737" s="199"/>
      <c r="B2737" s="128" t="s">
        <v>355</v>
      </c>
      <c r="C2737" s="187">
        <v>105.27</v>
      </c>
      <c r="D2737" s="128" t="s">
        <v>123</v>
      </c>
      <c r="E2737" s="193"/>
      <c r="G2737" s="193"/>
      <c r="H2737" s="294"/>
      <c r="I2737" s="129"/>
      <c r="J2737" s="187"/>
      <c r="K2737" s="187"/>
      <c r="L2737" s="187"/>
      <c r="M2737" s="129"/>
      <c r="N2737" s="129"/>
      <c r="O2737" s="347"/>
      <c r="P2737" s="358"/>
    </row>
    <row r="2738" spans="1:33" ht="14.25" customHeight="1">
      <c r="A2738" s="199"/>
      <c r="C2738" s="193"/>
      <c r="E2738" s="193"/>
      <c r="G2738" s="193"/>
      <c r="I2738" s="129"/>
      <c r="J2738" s="187"/>
      <c r="K2738" s="187"/>
      <c r="L2738" s="187"/>
      <c r="M2738" s="187"/>
      <c r="N2738" s="129"/>
      <c r="O2738" s="347"/>
      <c r="P2738" s="358"/>
    </row>
    <row r="2739" spans="1:33" ht="14.25" customHeight="1">
      <c r="A2739" s="199"/>
      <c r="B2739" s="191" t="s">
        <v>92</v>
      </c>
      <c r="C2739" s="192">
        <f>SUM(C2737)</f>
        <v>105.27</v>
      </c>
      <c r="D2739" s="191" t="s">
        <v>102</v>
      </c>
      <c r="E2739" s="193"/>
      <c r="G2739" s="193"/>
      <c r="I2739" s="129"/>
      <c r="J2739" s="187"/>
      <c r="K2739" s="129"/>
      <c r="L2739" s="129"/>
      <c r="M2739" s="129"/>
      <c r="N2739" s="129"/>
      <c r="O2739" s="347"/>
      <c r="P2739" s="358"/>
    </row>
    <row r="2740" spans="1:33" ht="14.25" customHeight="1">
      <c r="A2740" s="312"/>
      <c r="B2740" s="187"/>
      <c r="C2740" s="187"/>
      <c r="D2740" s="187"/>
      <c r="E2740" s="187"/>
      <c r="F2740" s="187"/>
      <c r="G2740" s="313"/>
      <c r="H2740" s="129"/>
      <c r="I2740" s="313"/>
      <c r="J2740" s="129"/>
      <c r="K2740" s="187"/>
      <c r="L2740" s="187"/>
      <c r="M2740" s="129"/>
      <c r="N2740" s="129"/>
      <c r="O2740" s="347"/>
      <c r="P2740" s="346"/>
    </row>
    <row r="2741" spans="1:33">
      <c r="A2741" s="245" t="s">
        <v>878</v>
      </c>
      <c r="B2741" s="544" t="s">
        <v>1280</v>
      </c>
      <c r="C2741" s="550"/>
      <c r="D2741" s="550"/>
      <c r="E2741" s="550"/>
      <c r="F2741" s="550"/>
      <c r="G2741" s="550"/>
      <c r="H2741" s="550"/>
      <c r="I2741" s="550"/>
      <c r="J2741" s="550"/>
      <c r="K2741" s="550"/>
      <c r="L2741" s="550"/>
      <c r="M2741" s="550"/>
      <c r="N2741" s="550"/>
      <c r="O2741" s="339">
        <v>96546</v>
      </c>
      <c r="P2741" s="347"/>
      <c r="Q2741" s="187"/>
    </row>
    <row r="2742" spans="1:33" ht="15" customHeight="1">
      <c r="A2742" s="190"/>
      <c r="C2742" s="193"/>
      <c r="E2742" s="193"/>
      <c r="G2742" s="193"/>
      <c r="O2742" s="347"/>
      <c r="P2742" s="339"/>
      <c r="Q2742" s="187"/>
    </row>
    <row r="2743" spans="1:33" ht="14.25" customHeight="1">
      <c r="A2743" s="312"/>
      <c r="C2743" s="193" t="s">
        <v>101</v>
      </c>
      <c r="I2743" s="313"/>
      <c r="J2743" s="129"/>
      <c r="K2743" s="187"/>
      <c r="L2743" s="187"/>
      <c r="M2743" s="129"/>
      <c r="N2743" s="129"/>
      <c r="O2743" s="347"/>
      <c r="P2743" s="346"/>
    </row>
    <row r="2744" spans="1:33" ht="14.25" customHeight="1">
      <c r="A2744" s="199"/>
      <c r="B2744" s="193" t="str">
        <f>B2737</f>
        <v>Viga Baldrame</v>
      </c>
      <c r="C2744" s="317">
        <v>400.69</v>
      </c>
      <c r="D2744" s="128" t="s">
        <v>123</v>
      </c>
      <c r="E2744" s="193"/>
      <c r="G2744" s="193"/>
      <c r="H2744" s="294"/>
      <c r="I2744" s="129"/>
      <c r="J2744" s="129"/>
      <c r="K2744" s="187"/>
      <c r="L2744" s="187"/>
      <c r="M2744" s="129"/>
      <c r="N2744" s="129"/>
      <c r="O2744" s="347"/>
      <c r="P2744" s="358"/>
      <c r="Q2744" s="129"/>
      <c r="R2744" s="129"/>
      <c r="S2744" s="129"/>
      <c r="T2744" s="129"/>
      <c r="U2744" s="129"/>
      <c r="V2744" s="129"/>
      <c r="W2744" s="129"/>
      <c r="X2744" s="129"/>
      <c r="Y2744" s="129"/>
      <c r="Z2744" s="129"/>
      <c r="AA2744" s="129"/>
      <c r="AB2744" s="129"/>
      <c r="AC2744" s="129"/>
      <c r="AD2744" s="129"/>
      <c r="AE2744" s="129"/>
      <c r="AF2744" s="129"/>
      <c r="AG2744" s="129"/>
    </row>
    <row r="2745" spans="1:33" ht="14.25" customHeight="1">
      <c r="A2745" s="199"/>
      <c r="C2745" s="193"/>
      <c r="E2745" s="193"/>
      <c r="G2745" s="193"/>
      <c r="I2745" s="129"/>
      <c r="J2745" s="187"/>
      <c r="K2745" s="129"/>
      <c r="L2745" s="129"/>
      <c r="M2745" s="129"/>
      <c r="N2745" s="129"/>
      <c r="O2745" s="347"/>
      <c r="P2745" s="358"/>
    </row>
    <row r="2746" spans="1:33" ht="14.25" customHeight="1">
      <c r="A2746" s="199"/>
      <c r="B2746" s="191" t="s">
        <v>92</v>
      </c>
      <c r="C2746" s="274">
        <f>SUM(C2744:C2744)</f>
        <v>400.69</v>
      </c>
      <c r="D2746" s="191" t="s">
        <v>102</v>
      </c>
      <c r="E2746" s="193"/>
      <c r="G2746" s="193"/>
      <c r="I2746" s="129"/>
      <c r="J2746" s="187"/>
      <c r="K2746" s="129"/>
      <c r="L2746" s="129"/>
      <c r="M2746" s="129"/>
      <c r="N2746" s="129"/>
      <c r="O2746" s="347"/>
      <c r="P2746" s="358"/>
    </row>
    <row r="2747" spans="1:33" ht="14.25" customHeight="1">
      <c r="A2747" s="312"/>
      <c r="B2747" s="187"/>
      <c r="C2747" s="187"/>
      <c r="D2747" s="187"/>
      <c r="E2747" s="187"/>
      <c r="F2747" s="187"/>
      <c r="G2747" s="313"/>
      <c r="H2747" s="129"/>
      <c r="I2747" s="313"/>
      <c r="J2747" s="129"/>
      <c r="K2747" s="187"/>
      <c r="L2747" s="187"/>
      <c r="M2747" s="129"/>
      <c r="N2747" s="129"/>
      <c r="O2747" s="347"/>
      <c r="P2747" s="346"/>
      <c r="Q2747" s="317"/>
    </row>
    <row r="2748" spans="1:33" ht="15" customHeight="1">
      <c r="A2748" s="311" t="s">
        <v>879</v>
      </c>
      <c r="B2748" s="544" t="s">
        <v>203</v>
      </c>
      <c r="C2748" s="545"/>
      <c r="D2748" s="545"/>
      <c r="E2748" s="545"/>
      <c r="F2748" s="545"/>
      <c r="G2748" s="545"/>
      <c r="H2748" s="545"/>
      <c r="I2748" s="545"/>
      <c r="J2748" s="545"/>
      <c r="K2748" s="545"/>
      <c r="L2748" s="545"/>
      <c r="M2748" s="545"/>
      <c r="N2748" s="545"/>
      <c r="O2748" s="339">
        <v>92413</v>
      </c>
      <c r="P2748" s="347"/>
      <c r="Q2748" s="187"/>
    </row>
    <row r="2749" spans="1:33" ht="15" customHeight="1">
      <c r="A2749" s="190"/>
      <c r="C2749" s="193"/>
      <c r="E2749" s="193"/>
      <c r="G2749" s="193"/>
      <c r="O2749" s="347"/>
      <c r="P2749" s="339"/>
      <c r="Q2749" s="187"/>
    </row>
    <row r="2750" spans="1:33" ht="14.25" customHeight="1">
      <c r="A2750" s="312"/>
      <c r="C2750" s="193" t="s">
        <v>77</v>
      </c>
      <c r="I2750" s="187"/>
      <c r="J2750" s="187"/>
      <c r="K2750" s="129"/>
      <c r="L2750" s="129"/>
      <c r="M2750" s="295"/>
      <c r="N2750" s="317"/>
      <c r="O2750" s="360"/>
      <c r="P2750" s="347"/>
    </row>
    <row r="2751" spans="1:33" ht="14.25" customHeight="1">
      <c r="A2751" s="312"/>
      <c r="B2751" s="128" t="s">
        <v>120</v>
      </c>
      <c r="C2751" s="193">
        <v>142</v>
      </c>
      <c r="D2751" s="128" t="s">
        <v>42</v>
      </c>
      <c r="E2751" s="193"/>
      <c r="G2751" s="193"/>
      <c r="H2751" s="129"/>
      <c r="I2751" s="129"/>
      <c r="J2751" s="187"/>
      <c r="K2751" s="129"/>
      <c r="L2751" s="129"/>
      <c r="M2751" s="129"/>
      <c r="N2751" s="129"/>
      <c r="O2751" s="358"/>
      <c r="P2751" s="347"/>
    </row>
    <row r="2752" spans="1:33" ht="14.25" customHeight="1">
      <c r="A2752" s="312"/>
      <c r="B2752" s="193"/>
      <c r="C2752" s="193"/>
      <c r="E2752" s="193"/>
      <c r="G2752" s="193"/>
      <c r="H2752" s="294"/>
      <c r="I2752" s="129"/>
      <c r="J2752" s="187"/>
      <c r="K2752" s="129"/>
      <c r="L2752" s="129"/>
      <c r="M2752" s="129"/>
      <c r="N2752" s="129"/>
      <c r="O2752" s="358"/>
      <c r="P2752" s="347"/>
    </row>
    <row r="2753" spans="1:33" ht="14.25" customHeight="1">
      <c r="A2753" s="199"/>
      <c r="B2753" s="191" t="s">
        <v>92</v>
      </c>
      <c r="C2753" s="192">
        <f>SUM(C2751:C2751)</f>
        <v>142</v>
      </c>
      <c r="D2753" s="191" t="s">
        <v>42</v>
      </c>
      <c r="E2753" s="193"/>
      <c r="G2753" s="193"/>
      <c r="I2753" s="129"/>
      <c r="J2753" s="187"/>
      <c r="K2753" s="129"/>
      <c r="L2753" s="129"/>
      <c r="M2753" s="129"/>
      <c r="N2753" s="129"/>
      <c r="O2753" s="358"/>
      <c r="P2753" s="347"/>
    </row>
    <row r="2754" spans="1:33" ht="14.25" customHeight="1">
      <c r="A2754" s="312"/>
      <c r="B2754" s="187"/>
      <c r="C2754" s="187"/>
      <c r="D2754" s="187"/>
      <c r="E2754" s="187"/>
      <c r="F2754" s="187"/>
      <c r="G2754" s="313"/>
      <c r="H2754" s="129"/>
      <c r="I2754" s="313"/>
      <c r="J2754" s="129"/>
      <c r="K2754" s="187"/>
      <c r="L2754" s="187"/>
      <c r="M2754" s="129"/>
      <c r="N2754" s="129"/>
      <c r="O2754" s="346"/>
      <c r="P2754" s="360"/>
      <c r="Q2754" s="317"/>
    </row>
    <row r="2755" spans="1:33" ht="15" customHeight="1">
      <c r="A2755" s="245" t="s">
        <v>880</v>
      </c>
      <c r="B2755" s="544" t="s">
        <v>354</v>
      </c>
      <c r="C2755" s="545"/>
      <c r="D2755" s="545"/>
      <c r="E2755" s="545"/>
      <c r="F2755" s="545"/>
      <c r="G2755" s="545"/>
      <c r="H2755" s="545"/>
      <c r="I2755" s="545"/>
      <c r="J2755" s="545"/>
      <c r="K2755" s="545"/>
      <c r="L2755" s="545"/>
      <c r="M2755" s="545"/>
      <c r="N2755" s="545"/>
      <c r="O2755" s="355">
        <v>92759</v>
      </c>
      <c r="P2755" s="352"/>
      <c r="Q2755" s="187"/>
    </row>
    <row r="2756" spans="1:33" ht="15" customHeight="1">
      <c r="A2756" s="190"/>
      <c r="C2756" s="193"/>
      <c r="E2756" s="193"/>
      <c r="G2756" s="193"/>
      <c r="Q2756" s="187"/>
    </row>
    <row r="2757" spans="1:33" ht="14.25" customHeight="1">
      <c r="A2757" s="312"/>
      <c r="C2757" s="193" t="s">
        <v>101</v>
      </c>
      <c r="I2757" s="313"/>
      <c r="J2757" s="129"/>
      <c r="K2757" s="187"/>
      <c r="L2757" s="187"/>
      <c r="M2757" s="129"/>
      <c r="N2757" s="129"/>
      <c r="O2757" s="347"/>
      <c r="P2757" s="347"/>
    </row>
    <row r="2758" spans="1:33" ht="14.25" customHeight="1">
      <c r="A2758" s="199"/>
      <c r="B2758" s="128" t="s">
        <v>357</v>
      </c>
      <c r="C2758" s="193">
        <v>94.09</v>
      </c>
      <c r="D2758" s="128" t="s">
        <v>102</v>
      </c>
      <c r="I2758" s="313"/>
      <c r="J2758" s="129"/>
      <c r="K2758" s="187"/>
      <c r="L2758" s="187"/>
      <c r="M2758" s="129"/>
      <c r="N2758" s="129"/>
      <c r="O2758" s="347"/>
      <c r="P2758" s="347"/>
    </row>
    <row r="2759" spans="1:33" ht="14.25" customHeight="1">
      <c r="A2759" s="199"/>
      <c r="C2759" s="193"/>
      <c r="I2759" s="313"/>
      <c r="J2759" s="129"/>
      <c r="K2759" s="187"/>
      <c r="L2759" s="187"/>
      <c r="M2759" s="129"/>
      <c r="N2759" s="129"/>
      <c r="O2759" s="347"/>
      <c r="P2759" s="347"/>
    </row>
    <row r="2760" spans="1:33" ht="14.25" customHeight="1">
      <c r="A2760" s="199"/>
      <c r="B2760" s="191" t="s">
        <v>92</v>
      </c>
      <c r="C2760" s="274">
        <f>C2758</f>
        <v>94.09</v>
      </c>
      <c r="D2760" s="191" t="s">
        <v>102</v>
      </c>
      <c r="E2760" s="193"/>
      <c r="G2760" s="193"/>
      <c r="I2760" s="129"/>
      <c r="J2760" s="187"/>
      <c r="K2760" s="129"/>
      <c r="L2760" s="129"/>
      <c r="M2760" s="129"/>
      <c r="N2760" s="129"/>
      <c r="O2760" s="360"/>
      <c r="P2760" s="360"/>
    </row>
    <row r="2761" spans="1:33" ht="14.25" customHeight="1">
      <c r="A2761" s="312"/>
      <c r="B2761" s="187"/>
      <c r="C2761" s="187"/>
      <c r="D2761" s="187"/>
      <c r="E2761" s="187"/>
      <c r="F2761" s="187"/>
      <c r="G2761" s="313"/>
      <c r="H2761" s="129"/>
      <c r="I2761" s="313"/>
      <c r="J2761" s="129"/>
      <c r="K2761" s="187"/>
      <c r="L2761" s="187"/>
      <c r="M2761" s="129"/>
      <c r="N2761" s="129"/>
      <c r="O2761" s="347"/>
      <c r="P2761" s="347"/>
      <c r="Q2761" s="129"/>
      <c r="R2761" s="129"/>
      <c r="S2761" s="129"/>
      <c r="T2761" s="129"/>
      <c r="U2761" s="129"/>
      <c r="V2761" s="129"/>
      <c r="W2761" s="129"/>
      <c r="X2761" s="129"/>
      <c r="Y2761" s="129"/>
      <c r="Z2761" s="129"/>
      <c r="AA2761" s="129"/>
      <c r="AB2761" s="129"/>
      <c r="AC2761" s="129"/>
      <c r="AD2761" s="129"/>
      <c r="AE2761" s="129"/>
      <c r="AF2761" s="129"/>
      <c r="AG2761" s="129"/>
    </row>
    <row r="2762" spans="1:33" ht="14.25" customHeight="1">
      <c r="A2762" s="247" t="s">
        <v>881</v>
      </c>
      <c r="B2762" s="544" t="s">
        <v>1281</v>
      </c>
      <c r="C2762" s="550"/>
      <c r="D2762" s="550"/>
      <c r="E2762" s="550"/>
      <c r="F2762" s="550"/>
      <c r="G2762" s="550"/>
      <c r="H2762" s="550"/>
      <c r="I2762" s="550"/>
      <c r="J2762" s="550"/>
      <c r="K2762" s="550"/>
      <c r="L2762" s="550"/>
      <c r="M2762" s="550"/>
      <c r="N2762" s="550"/>
      <c r="O2762" s="339">
        <v>92762</v>
      </c>
      <c r="P2762" s="347"/>
    </row>
    <row r="2763" spans="1:33" ht="14.25" customHeight="1">
      <c r="A2763" s="190"/>
      <c r="C2763" s="193"/>
      <c r="E2763" s="193"/>
      <c r="G2763" s="193"/>
      <c r="O2763" s="347"/>
      <c r="P2763" s="339"/>
    </row>
    <row r="2764" spans="1:33" ht="14.25" customHeight="1">
      <c r="A2764" s="331"/>
      <c r="C2764" s="193" t="s">
        <v>101</v>
      </c>
      <c r="I2764" s="313"/>
      <c r="J2764" s="129"/>
      <c r="K2764" s="187"/>
      <c r="L2764" s="187"/>
      <c r="M2764" s="129"/>
      <c r="N2764" s="129"/>
      <c r="O2764" s="347"/>
      <c r="P2764" s="346"/>
      <c r="Q2764" s="317"/>
    </row>
    <row r="2765" spans="1:33" ht="15" customHeight="1">
      <c r="A2765" s="331"/>
      <c r="B2765" s="128" t="s">
        <v>120</v>
      </c>
      <c r="C2765" s="187">
        <v>435.32</v>
      </c>
      <c r="D2765" s="128" t="s">
        <v>123</v>
      </c>
      <c r="E2765" s="193"/>
      <c r="G2765" s="294"/>
      <c r="I2765" s="129"/>
      <c r="J2765" s="187"/>
      <c r="K2765" s="129"/>
      <c r="L2765" s="187"/>
      <c r="M2765" s="129"/>
      <c r="N2765" s="129"/>
      <c r="O2765" s="347"/>
      <c r="P2765" s="358"/>
      <c r="Q2765" s="187"/>
    </row>
    <row r="2766" spans="1:33" ht="14.25" customHeight="1">
      <c r="A2766" s="331"/>
      <c r="C2766" s="193"/>
      <c r="E2766" s="193"/>
      <c r="G2766" s="193"/>
      <c r="I2766" s="129"/>
      <c r="J2766" s="187"/>
      <c r="K2766" s="129"/>
      <c r="L2766" s="129"/>
      <c r="M2766" s="129"/>
      <c r="N2766" s="129"/>
      <c r="O2766" s="347"/>
      <c r="P2766" s="358"/>
      <c r="R2766" s="129"/>
      <c r="S2766" s="129"/>
      <c r="T2766" s="129"/>
      <c r="U2766" s="129"/>
      <c r="V2766" s="129"/>
      <c r="W2766" s="129"/>
      <c r="X2766" s="129"/>
      <c r="Y2766" s="129"/>
      <c r="Z2766" s="129"/>
      <c r="AA2766" s="129"/>
      <c r="AB2766" s="129"/>
      <c r="AC2766" s="129"/>
      <c r="AD2766" s="129"/>
      <c r="AE2766" s="129"/>
      <c r="AF2766" s="129"/>
      <c r="AG2766" s="129"/>
    </row>
    <row r="2767" spans="1:33" ht="14.25" customHeight="1">
      <c r="A2767" s="331"/>
      <c r="B2767" s="191" t="s">
        <v>92</v>
      </c>
      <c r="C2767" s="192">
        <f>SUM(C2765)</f>
        <v>435.32</v>
      </c>
      <c r="D2767" s="191" t="s">
        <v>102</v>
      </c>
      <c r="E2767" s="193"/>
      <c r="G2767" s="193"/>
      <c r="I2767" s="129"/>
      <c r="J2767" s="187"/>
      <c r="K2767" s="129"/>
      <c r="L2767" s="129"/>
      <c r="M2767" s="129"/>
      <c r="N2767" s="129"/>
      <c r="O2767" s="347"/>
      <c r="P2767" s="358"/>
      <c r="Q2767" s="317"/>
      <c r="R2767" s="129"/>
      <c r="S2767" s="129"/>
      <c r="T2767" s="129"/>
      <c r="U2767" s="129"/>
      <c r="V2767" s="129"/>
      <c r="W2767" s="129"/>
      <c r="X2767" s="129"/>
      <c r="Y2767" s="129"/>
      <c r="Z2767" s="129"/>
      <c r="AA2767" s="129"/>
      <c r="AB2767" s="129"/>
      <c r="AC2767" s="129"/>
      <c r="AD2767" s="129"/>
      <c r="AE2767" s="129"/>
      <c r="AF2767" s="129"/>
      <c r="AG2767" s="129"/>
    </row>
    <row r="2768" spans="1:33" ht="14.25" customHeight="1">
      <c r="A2768" s="190"/>
      <c r="B2768" s="187"/>
      <c r="C2768" s="187"/>
      <c r="D2768" s="187"/>
      <c r="E2768" s="187"/>
      <c r="F2768" s="187"/>
      <c r="G2768" s="313"/>
      <c r="H2768" s="129"/>
      <c r="I2768" s="313"/>
      <c r="J2768" s="129"/>
      <c r="K2768" s="187"/>
      <c r="L2768" s="187"/>
      <c r="M2768" s="129"/>
      <c r="N2768" s="129"/>
      <c r="O2768" s="347"/>
      <c r="P2768" s="346"/>
      <c r="Q2768" s="129"/>
      <c r="R2768" s="129"/>
      <c r="S2768" s="129"/>
      <c r="T2768" s="129"/>
      <c r="U2768" s="129"/>
      <c r="V2768" s="129"/>
      <c r="W2768" s="129"/>
      <c r="X2768" s="129"/>
      <c r="Y2768" s="129"/>
      <c r="Z2768" s="129"/>
      <c r="AA2768" s="129"/>
      <c r="AB2768" s="129"/>
      <c r="AC2768" s="129"/>
      <c r="AD2768" s="129"/>
      <c r="AE2768" s="129"/>
      <c r="AF2768" s="129"/>
      <c r="AG2768" s="129"/>
    </row>
    <row r="2769" spans="1:33" ht="14.25" customHeight="1">
      <c r="A2769" s="245" t="s">
        <v>882</v>
      </c>
      <c r="B2769" s="586" t="s">
        <v>260</v>
      </c>
      <c r="C2769" s="586"/>
      <c r="D2769" s="586"/>
      <c r="E2769" s="586"/>
      <c r="F2769" s="586"/>
      <c r="G2769" s="586"/>
      <c r="H2769" s="586"/>
      <c r="I2769" s="586"/>
      <c r="J2769" s="586"/>
      <c r="K2769" s="586"/>
      <c r="L2769" s="586"/>
      <c r="M2769" s="586"/>
      <c r="N2769" s="586"/>
      <c r="O2769" s="348">
        <v>93205</v>
      </c>
      <c r="P2769" s="361"/>
      <c r="Q2769" s="129"/>
      <c r="R2769" s="129"/>
      <c r="S2769" s="129"/>
      <c r="T2769" s="129"/>
      <c r="U2769" s="129"/>
      <c r="V2769" s="129"/>
      <c r="W2769" s="129"/>
      <c r="X2769" s="129"/>
      <c r="Y2769" s="129"/>
      <c r="Z2769" s="129"/>
      <c r="AA2769" s="129"/>
      <c r="AB2769" s="129"/>
      <c r="AC2769" s="129"/>
      <c r="AD2769" s="129"/>
      <c r="AE2769" s="129"/>
      <c r="AF2769" s="129"/>
      <c r="AG2769" s="129"/>
    </row>
    <row r="2770" spans="1:33" ht="14.25" customHeight="1">
      <c r="A2770" s="190"/>
      <c r="C2770" s="193"/>
      <c r="E2770" s="193"/>
      <c r="G2770" s="193"/>
      <c r="O2770" s="339"/>
      <c r="Q2770" s="129"/>
      <c r="R2770" s="129"/>
      <c r="S2770" s="129"/>
      <c r="T2770" s="129"/>
      <c r="U2770" s="129"/>
      <c r="V2770" s="129"/>
      <c r="W2770" s="129"/>
      <c r="X2770" s="129"/>
      <c r="Y2770" s="129"/>
      <c r="Z2770" s="129"/>
      <c r="AA2770" s="129"/>
      <c r="AB2770" s="129"/>
      <c r="AC2770" s="129"/>
      <c r="AD2770" s="129"/>
      <c r="AE2770" s="129"/>
      <c r="AF2770" s="129"/>
      <c r="AG2770" s="129"/>
    </row>
    <row r="2771" spans="1:33" ht="14.25" customHeight="1">
      <c r="A2771" s="190"/>
      <c r="B2771" s="332"/>
      <c r="C2771" s="333" t="s">
        <v>75</v>
      </c>
      <c r="E2771" s="333"/>
      <c r="G2771" s="333"/>
      <c r="O2771" s="392"/>
      <c r="Q2771" s="317"/>
      <c r="R2771" s="129"/>
      <c r="S2771" s="129"/>
      <c r="T2771" s="129"/>
      <c r="U2771" s="129"/>
      <c r="V2771" s="129"/>
      <c r="W2771" s="129"/>
      <c r="X2771" s="129"/>
      <c r="Y2771" s="129"/>
      <c r="Z2771" s="129"/>
      <c r="AA2771" s="129"/>
      <c r="AB2771" s="129"/>
      <c r="AC2771" s="129"/>
      <c r="AD2771" s="129"/>
      <c r="AE2771" s="129"/>
      <c r="AF2771" s="129"/>
      <c r="AG2771" s="129"/>
    </row>
    <row r="2772" spans="1:33" ht="15" customHeight="1">
      <c r="A2772" s="190"/>
      <c r="B2772" s="332" t="s">
        <v>92</v>
      </c>
      <c r="C2772" s="334">
        <v>115.34</v>
      </c>
      <c r="D2772" s="332" t="s">
        <v>93</v>
      </c>
      <c r="E2772" s="333"/>
      <c r="F2772" s="335"/>
      <c r="G2772" s="333"/>
      <c r="H2772" s="335"/>
      <c r="O2772" s="392"/>
      <c r="R2772" s="129"/>
      <c r="S2772" s="129"/>
      <c r="T2772" s="129"/>
      <c r="U2772" s="129"/>
      <c r="V2772" s="129"/>
      <c r="W2772" s="129"/>
      <c r="X2772" s="129"/>
      <c r="Y2772" s="129"/>
      <c r="Z2772" s="129"/>
      <c r="AA2772" s="129"/>
      <c r="AB2772" s="129"/>
      <c r="AC2772" s="129"/>
      <c r="AD2772" s="129"/>
      <c r="AE2772" s="129"/>
      <c r="AF2772" s="129"/>
      <c r="AG2772" s="129"/>
    </row>
    <row r="2773" spans="1:33" ht="14.25" customHeight="1">
      <c r="A2773" s="190"/>
      <c r="C2773" s="193"/>
      <c r="E2773" s="193"/>
      <c r="G2773" s="193"/>
      <c r="O2773" s="339"/>
      <c r="R2773" s="129"/>
      <c r="S2773" s="129"/>
      <c r="T2773" s="129"/>
      <c r="U2773" s="129"/>
      <c r="V2773" s="129"/>
      <c r="W2773" s="129"/>
      <c r="X2773" s="129"/>
      <c r="Y2773" s="129"/>
      <c r="Z2773" s="129"/>
      <c r="AA2773" s="129"/>
      <c r="AB2773" s="129"/>
      <c r="AC2773" s="129"/>
      <c r="AD2773" s="129"/>
      <c r="AE2773" s="129"/>
      <c r="AF2773" s="129"/>
      <c r="AG2773" s="129"/>
    </row>
    <row r="2774" spans="1:33">
      <c r="A2774" s="245" t="s">
        <v>883</v>
      </c>
      <c r="B2774" s="544" t="s">
        <v>358</v>
      </c>
      <c r="C2774" s="545"/>
      <c r="D2774" s="545"/>
      <c r="E2774" s="545"/>
      <c r="F2774" s="545"/>
      <c r="G2774" s="545"/>
      <c r="H2774" s="545"/>
      <c r="I2774" s="545"/>
      <c r="J2774" s="545"/>
      <c r="K2774" s="545"/>
      <c r="L2774" s="545"/>
      <c r="M2774" s="545"/>
      <c r="N2774" s="545"/>
      <c r="O2774" s="346">
        <v>103322</v>
      </c>
      <c r="Q2774" s="317"/>
      <c r="R2774" s="129"/>
      <c r="S2774" s="129"/>
      <c r="T2774" s="129"/>
      <c r="U2774" s="129"/>
      <c r="V2774" s="129"/>
      <c r="W2774" s="129"/>
      <c r="X2774" s="129"/>
      <c r="Y2774" s="129"/>
      <c r="Z2774" s="129"/>
      <c r="AA2774" s="129"/>
      <c r="AB2774" s="129"/>
      <c r="AC2774" s="129"/>
      <c r="AD2774" s="129"/>
      <c r="AE2774" s="129"/>
      <c r="AF2774" s="129"/>
      <c r="AG2774" s="129"/>
    </row>
    <row r="2775" spans="1:33" ht="14.25" customHeight="1">
      <c r="A2775" s="190"/>
      <c r="C2775" s="193"/>
      <c r="E2775" s="193"/>
      <c r="G2775" s="193"/>
      <c r="P2775" s="339"/>
      <c r="Q2775" s="129"/>
      <c r="R2775" s="129"/>
      <c r="S2775" s="129"/>
      <c r="T2775" s="129"/>
      <c r="U2775" s="129"/>
      <c r="V2775" s="129"/>
      <c r="W2775" s="129"/>
      <c r="X2775" s="129"/>
      <c r="Y2775" s="129"/>
      <c r="Z2775" s="129"/>
      <c r="AA2775" s="129"/>
      <c r="AB2775" s="129"/>
      <c r="AC2775" s="129"/>
      <c r="AD2775" s="129"/>
      <c r="AE2775" s="129"/>
      <c r="AF2775" s="129"/>
      <c r="AG2775" s="129"/>
    </row>
    <row r="2776" spans="1:33" ht="14.25" customHeight="1">
      <c r="A2776" s="201"/>
      <c r="C2776" s="193" t="s">
        <v>75</v>
      </c>
      <c r="E2776" s="193" t="s">
        <v>76</v>
      </c>
      <c r="G2776" s="128" t="s">
        <v>77</v>
      </c>
      <c r="M2776" s="272"/>
      <c r="O2776" s="347"/>
      <c r="Q2776" s="129"/>
      <c r="R2776" s="129"/>
      <c r="S2776" s="129"/>
      <c r="T2776" s="129"/>
      <c r="U2776" s="129"/>
      <c r="V2776" s="129"/>
      <c r="W2776" s="129"/>
      <c r="X2776" s="129"/>
      <c r="Y2776" s="129"/>
      <c r="Z2776" s="129"/>
      <c r="AA2776" s="129"/>
      <c r="AB2776" s="129"/>
      <c r="AC2776" s="129"/>
      <c r="AD2776" s="129"/>
      <c r="AE2776" s="129"/>
      <c r="AF2776" s="129"/>
      <c r="AG2776" s="129"/>
    </row>
    <row r="2777" spans="1:33" ht="14.25" customHeight="1">
      <c r="A2777" s="190"/>
      <c r="B2777" s="128" t="s">
        <v>1334</v>
      </c>
      <c r="C2777" s="193">
        <f>4.47+1.88+16.03+6.09+4.6+6.93+41+5.5-(26*0.3)</f>
        <v>78.7</v>
      </c>
      <c r="D2777" s="128" t="s">
        <v>78</v>
      </c>
      <c r="E2777" s="193">
        <v>0.7</v>
      </c>
      <c r="F2777" s="128" t="s">
        <v>79</v>
      </c>
      <c r="G2777" s="193">
        <f>C2777*E2777</f>
        <v>55.089999999999996</v>
      </c>
      <c r="H2777" s="128" t="s">
        <v>42</v>
      </c>
      <c r="P2777" s="339"/>
      <c r="Q2777" s="129"/>
      <c r="R2777" s="129"/>
      <c r="S2777" s="129"/>
      <c r="T2777" s="129"/>
      <c r="U2777" s="129"/>
      <c r="V2777" s="129"/>
      <c r="W2777" s="129"/>
      <c r="X2777" s="129"/>
      <c r="Y2777" s="129"/>
      <c r="Z2777" s="129"/>
      <c r="AA2777" s="129"/>
      <c r="AB2777" s="129"/>
      <c r="AC2777" s="129"/>
      <c r="AD2777" s="129"/>
      <c r="AE2777" s="129"/>
      <c r="AF2777" s="129"/>
      <c r="AG2777" s="129"/>
    </row>
    <row r="2778" spans="1:33" ht="14.25" customHeight="1">
      <c r="A2778" s="201"/>
      <c r="B2778" s="128" t="s">
        <v>360</v>
      </c>
      <c r="C2778" s="193">
        <f>120.38-47*0.3</f>
        <v>106.28</v>
      </c>
      <c r="D2778" s="128" t="s">
        <v>78</v>
      </c>
      <c r="E2778" s="193">
        <v>2.2999999999999998</v>
      </c>
      <c r="F2778" s="128" t="s">
        <v>79</v>
      </c>
      <c r="G2778" s="193">
        <f t="shared" ref="G2778" si="28">C2778*E2778</f>
        <v>244.44399999999999</v>
      </c>
      <c r="H2778" s="128" t="s">
        <v>42</v>
      </c>
      <c r="I2778" s="193"/>
      <c r="P2778" s="339"/>
      <c r="Q2778" s="187"/>
      <c r="R2778" s="129"/>
      <c r="S2778" s="129"/>
      <c r="T2778" s="129"/>
      <c r="U2778" s="129"/>
      <c r="V2778" s="129"/>
      <c r="W2778" s="129"/>
      <c r="X2778" s="129"/>
      <c r="Y2778" s="129"/>
      <c r="Z2778" s="129"/>
      <c r="AA2778" s="129"/>
      <c r="AB2778" s="129"/>
      <c r="AC2778" s="129"/>
      <c r="AD2778" s="129"/>
      <c r="AE2778" s="129"/>
      <c r="AF2778" s="129"/>
      <c r="AG2778" s="129"/>
    </row>
    <row r="2779" spans="1:33" ht="14.25">
      <c r="A2779" s="201"/>
      <c r="C2779" s="193"/>
      <c r="E2779" s="193"/>
      <c r="P2779" s="339"/>
      <c r="R2779" s="129"/>
      <c r="S2779" s="129"/>
      <c r="T2779" s="129"/>
      <c r="U2779" s="129"/>
      <c r="V2779" s="129"/>
      <c r="W2779" s="129"/>
      <c r="X2779" s="129"/>
      <c r="Y2779" s="129"/>
      <c r="Z2779" s="129"/>
      <c r="AA2779" s="129"/>
      <c r="AB2779" s="129"/>
      <c r="AC2779" s="129"/>
      <c r="AD2779" s="129"/>
      <c r="AE2779" s="129"/>
      <c r="AF2779" s="129"/>
      <c r="AG2779" s="129"/>
    </row>
    <row r="2780" spans="1:33" ht="14.25" customHeight="1">
      <c r="A2780" s="201"/>
      <c r="B2780" s="191" t="s">
        <v>92</v>
      </c>
      <c r="C2780" s="192">
        <f>SUM(G2777:G2778)</f>
        <v>299.53399999999999</v>
      </c>
      <c r="D2780" s="191" t="s">
        <v>42</v>
      </c>
      <c r="E2780" s="193"/>
      <c r="F2780" s="294"/>
      <c r="G2780" s="193"/>
      <c r="P2780" s="339"/>
      <c r="Q2780" s="129"/>
      <c r="R2780" s="129"/>
      <c r="S2780" s="129"/>
      <c r="T2780" s="129"/>
      <c r="U2780" s="129"/>
      <c r="V2780" s="129"/>
      <c r="W2780" s="129"/>
      <c r="X2780" s="129"/>
      <c r="Y2780" s="129"/>
      <c r="Z2780" s="129"/>
      <c r="AA2780" s="129"/>
      <c r="AB2780" s="129"/>
      <c r="AC2780" s="129"/>
      <c r="AD2780" s="129"/>
      <c r="AE2780" s="129"/>
      <c r="AF2780" s="129"/>
      <c r="AG2780" s="129"/>
    </row>
    <row r="2781" spans="1:33" ht="14.25" customHeight="1">
      <c r="A2781" s="201"/>
      <c r="B2781" s="191"/>
      <c r="C2781" s="192"/>
      <c r="D2781" s="191"/>
      <c r="E2781" s="193"/>
      <c r="F2781" s="294"/>
      <c r="G2781" s="193"/>
      <c r="P2781" s="339"/>
      <c r="Q2781" s="129"/>
      <c r="R2781" s="129"/>
      <c r="S2781" s="129"/>
      <c r="T2781" s="129"/>
      <c r="U2781" s="129"/>
      <c r="V2781" s="129"/>
      <c r="W2781" s="129"/>
      <c r="X2781" s="129"/>
      <c r="Y2781" s="129"/>
      <c r="Z2781" s="129"/>
      <c r="AA2781" s="129"/>
      <c r="AB2781" s="129"/>
      <c r="AC2781" s="129"/>
      <c r="AD2781" s="129"/>
      <c r="AE2781" s="129"/>
      <c r="AF2781" s="129"/>
      <c r="AG2781" s="129"/>
    </row>
    <row r="2782" spans="1:33">
      <c r="A2782" s="245" t="s">
        <v>884</v>
      </c>
      <c r="B2782" s="544" t="s">
        <v>362</v>
      </c>
      <c r="C2782" s="550"/>
      <c r="D2782" s="550"/>
      <c r="E2782" s="550"/>
      <c r="F2782" s="550"/>
      <c r="G2782" s="550"/>
      <c r="H2782" s="550"/>
      <c r="I2782" s="550"/>
      <c r="J2782" s="550"/>
      <c r="K2782" s="550"/>
      <c r="L2782" s="550"/>
      <c r="M2782" s="550"/>
      <c r="N2782" s="550"/>
      <c r="O2782" s="346">
        <v>87879</v>
      </c>
      <c r="Q2782" s="129"/>
      <c r="R2782" s="129"/>
      <c r="S2782" s="129"/>
      <c r="T2782" s="129"/>
      <c r="U2782" s="129"/>
      <c r="V2782" s="129"/>
      <c r="W2782" s="129"/>
      <c r="X2782" s="129"/>
      <c r="Y2782" s="129"/>
      <c r="Z2782" s="129"/>
      <c r="AA2782" s="129"/>
      <c r="AB2782" s="129"/>
      <c r="AC2782" s="129"/>
      <c r="AD2782" s="129"/>
      <c r="AE2782" s="129"/>
      <c r="AF2782" s="129"/>
      <c r="AG2782" s="129"/>
    </row>
    <row r="2783" spans="1:33" ht="14.25" customHeight="1">
      <c r="A2783" s="201"/>
      <c r="C2783" s="193"/>
      <c r="E2783" s="193"/>
      <c r="G2783" s="193"/>
      <c r="P2783" s="339"/>
      <c r="Q2783" s="129"/>
      <c r="R2783" s="129"/>
      <c r="S2783" s="129"/>
      <c r="T2783" s="129"/>
      <c r="U2783" s="129"/>
      <c r="V2783" s="129"/>
      <c r="W2783" s="129"/>
      <c r="X2783" s="129"/>
      <c r="Y2783" s="129"/>
      <c r="Z2783" s="129"/>
      <c r="AA2783" s="129"/>
      <c r="AB2783" s="129"/>
      <c r="AC2783" s="129"/>
      <c r="AD2783" s="129"/>
      <c r="AE2783" s="129"/>
      <c r="AF2783" s="129"/>
      <c r="AG2783" s="129"/>
    </row>
    <row r="2784" spans="1:33" ht="14.25" customHeight="1">
      <c r="A2784" s="201"/>
      <c r="B2784" s="191"/>
      <c r="C2784" s="193" t="s">
        <v>75</v>
      </c>
      <c r="E2784" s="193" t="s">
        <v>76</v>
      </c>
      <c r="G2784" s="193" t="s">
        <v>129</v>
      </c>
      <c r="I2784" s="128" t="s">
        <v>77</v>
      </c>
      <c r="P2784" s="339"/>
      <c r="Q2784" s="317"/>
      <c r="R2784" s="129"/>
      <c r="S2784" s="129"/>
      <c r="T2784" s="129"/>
      <c r="U2784" s="129"/>
      <c r="V2784" s="129"/>
      <c r="W2784" s="129"/>
      <c r="X2784" s="129"/>
      <c r="Y2784" s="129"/>
      <c r="Z2784" s="129"/>
      <c r="AA2784" s="129"/>
      <c r="AB2784" s="129"/>
      <c r="AC2784" s="129"/>
      <c r="AD2784" s="129"/>
      <c r="AE2784" s="129"/>
      <c r="AF2784" s="129"/>
      <c r="AG2784" s="129"/>
    </row>
    <row r="2785" spans="1:33" ht="14.25">
      <c r="A2785" s="201"/>
      <c r="B2785" s="128" t="s">
        <v>1334</v>
      </c>
      <c r="C2785" s="193">
        <f>4.47+1.88+16.03+6.09+4.6+6.93+41+5.5</f>
        <v>86.5</v>
      </c>
      <c r="D2785" s="128" t="s">
        <v>78</v>
      </c>
      <c r="E2785" s="193">
        <f>E2777</f>
        <v>0.7</v>
      </c>
      <c r="F2785" s="128" t="s">
        <v>78</v>
      </c>
      <c r="G2785" s="193">
        <v>2</v>
      </c>
      <c r="H2785" s="128" t="s">
        <v>95</v>
      </c>
      <c r="I2785" s="197">
        <f t="shared" ref="I2785:I2786" si="29">C2785*E2785*G2785</f>
        <v>121.1</v>
      </c>
      <c r="J2785" s="128" t="s">
        <v>42</v>
      </c>
      <c r="P2785" s="379"/>
      <c r="R2785" s="129"/>
      <c r="S2785" s="129"/>
      <c r="T2785" s="129"/>
      <c r="U2785" s="129"/>
      <c r="V2785" s="129"/>
      <c r="W2785" s="129"/>
      <c r="X2785" s="129"/>
      <c r="Y2785" s="129"/>
      <c r="Z2785" s="129"/>
      <c r="AA2785" s="129"/>
      <c r="AB2785" s="129"/>
      <c r="AC2785" s="129"/>
      <c r="AD2785" s="129"/>
      <c r="AE2785" s="129"/>
      <c r="AF2785" s="129"/>
      <c r="AG2785" s="129"/>
    </row>
    <row r="2786" spans="1:33" ht="14.25">
      <c r="A2786" s="201"/>
      <c r="B2786" s="128" t="s">
        <v>360</v>
      </c>
      <c r="C2786" s="128">
        <f>120.38-47*0.3</f>
        <v>106.28</v>
      </c>
      <c r="D2786" s="128" t="s">
        <v>78</v>
      </c>
      <c r="E2786" s="193">
        <f>E2778</f>
        <v>2.2999999999999998</v>
      </c>
      <c r="F2786" s="128" t="s">
        <v>78</v>
      </c>
      <c r="G2786" s="193">
        <v>2</v>
      </c>
      <c r="H2786" s="128" t="s">
        <v>95</v>
      </c>
      <c r="I2786" s="197">
        <f t="shared" si="29"/>
        <v>488.88799999999998</v>
      </c>
      <c r="J2786" s="128" t="s">
        <v>42</v>
      </c>
      <c r="O2786" s="339"/>
      <c r="R2786" s="129"/>
      <c r="S2786" s="129"/>
      <c r="T2786" s="129"/>
      <c r="U2786" s="129"/>
      <c r="V2786" s="129"/>
      <c r="W2786" s="129"/>
      <c r="X2786" s="129"/>
      <c r="Y2786" s="129"/>
      <c r="Z2786" s="129"/>
      <c r="AA2786" s="129"/>
      <c r="AB2786" s="129"/>
      <c r="AC2786" s="129"/>
      <c r="AD2786" s="129"/>
      <c r="AE2786" s="129"/>
      <c r="AF2786" s="129"/>
      <c r="AG2786" s="129"/>
    </row>
    <row r="2787" spans="1:33" ht="14.25" customHeight="1">
      <c r="A2787" s="201"/>
      <c r="B2787" s="193"/>
      <c r="C2787" s="193"/>
      <c r="E2787" s="193"/>
      <c r="G2787" s="193"/>
      <c r="I2787" s="193"/>
      <c r="O2787" s="339"/>
      <c r="Q2787" s="317"/>
      <c r="R2787" s="317"/>
      <c r="S2787" s="129"/>
      <c r="T2787" s="129"/>
      <c r="U2787" s="129"/>
      <c r="V2787" s="129"/>
      <c r="W2787" s="129"/>
      <c r="X2787" s="129"/>
      <c r="Y2787" s="129"/>
      <c r="Z2787" s="129"/>
      <c r="AA2787" s="129"/>
      <c r="AB2787" s="129"/>
      <c r="AC2787" s="129"/>
      <c r="AD2787" s="129"/>
      <c r="AE2787" s="129"/>
      <c r="AF2787" s="129"/>
      <c r="AG2787" s="129"/>
    </row>
    <row r="2788" spans="1:33" ht="14.25" customHeight="1">
      <c r="A2788" s="201"/>
      <c r="B2788" s="191" t="s">
        <v>92</v>
      </c>
      <c r="C2788" s="274">
        <f>SUM(I2785:I2786)</f>
        <v>609.98799999999994</v>
      </c>
      <c r="D2788" s="191" t="s">
        <v>42</v>
      </c>
      <c r="E2788" s="193"/>
      <c r="F2788" s="294"/>
      <c r="G2788" s="193"/>
      <c r="I2788" s="193"/>
      <c r="O2788" s="339"/>
      <c r="Q2788" s="129"/>
      <c r="R2788" s="129"/>
      <c r="S2788" s="129"/>
      <c r="T2788" s="129"/>
      <c r="U2788" s="129"/>
      <c r="V2788" s="129"/>
      <c r="W2788" s="129"/>
      <c r="X2788" s="129"/>
      <c r="Y2788" s="129"/>
      <c r="Z2788" s="129"/>
      <c r="AA2788" s="129"/>
      <c r="AB2788" s="129"/>
      <c r="AC2788" s="129"/>
      <c r="AD2788" s="129"/>
      <c r="AE2788" s="129"/>
      <c r="AF2788" s="129"/>
      <c r="AG2788" s="129"/>
    </row>
    <row r="2789" spans="1:33" ht="14.25" customHeight="1">
      <c r="A2789" s="201"/>
      <c r="B2789" s="191"/>
      <c r="C2789" s="274"/>
      <c r="D2789" s="191"/>
      <c r="E2789" s="193"/>
      <c r="F2789" s="294"/>
      <c r="G2789" s="193"/>
      <c r="I2789" s="193"/>
      <c r="O2789" s="339"/>
      <c r="Q2789" s="129"/>
      <c r="R2789" s="129"/>
      <c r="S2789" s="129"/>
      <c r="T2789" s="129"/>
      <c r="U2789" s="129"/>
      <c r="V2789" s="129"/>
      <c r="W2789" s="129"/>
      <c r="X2789" s="129"/>
      <c r="Y2789" s="129"/>
      <c r="Z2789" s="129"/>
      <c r="AA2789" s="129"/>
      <c r="AB2789" s="129"/>
      <c r="AC2789" s="129"/>
      <c r="AD2789" s="129"/>
      <c r="AE2789" s="129"/>
      <c r="AF2789" s="129"/>
      <c r="AG2789" s="129"/>
    </row>
    <row r="2790" spans="1:33" ht="30.75" customHeight="1">
      <c r="A2790" s="245" t="s">
        <v>885</v>
      </c>
      <c r="B2790" s="544" t="s">
        <v>363</v>
      </c>
      <c r="C2790" s="550"/>
      <c r="D2790" s="550"/>
      <c r="E2790" s="550"/>
      <c r="F2790" s="550"/>
      <c r="G2790" s="550"/>
      <c r="H2790" s="550"/>
      <c r="I2790" s="550"/>
      <c r="J2790" s="550"/>
      <c r="K2790" s="550"/>
      <c r="L2790" s="550"/>
      <c r="M2790" s="550"/>
      <c r="N2790" s="550"/>
      <c r="O2790" s="346">
        <v>87794</v>
      </c>
      <c r="Q2790" s="129"/>
      <c r="R2790" s="129"/>
      <c r="S2790" s="129"/>
      <c r="T2790" s="129"/>
      <c r="U2790" s="129"/>
      <c r="V2790" s="129"/>
      <c r="W2790" s="129"/>
      <c r="X2790" s="129"/>
      <c r="Y2790" s="129"/>
      <c r="Z2790" s="129"/>
      <c r="AA2790" s="129"/>
      <c r="AB2790" s="129"/>
      <c r="AC2790" s="129"/>
      <c r="AD2790" s="129"/>
      <c r="AE2790" s="129"/>
      <c r="AF2790" s="129"/>
      <c r="AG2790" s="129"/>
    </row>
    <row r="2791" spans="1:33" ht="14.25" customHeight="1">
      <c r="A2791" s="194"/>
      <c r="C2791" s="193"/>
      <c r="E2791" s="193"/>
      <c r="G2791" s="193"/>
      <c r="P2791" s="339"/>
      <c r="Q2791" s="317"/>
      <c r="R2791" s="317"/>
      <c r="T2791" s="129"/>
      <c r="U2791" s="129"/>
      <c r="V2791" s="129"/>
      <c r="W2791" s="129"/>
      <c r="X2791" s="129"/>
      <c r="Y2791" s="129"/>
      <c r="Z2791" s="129"/>
      <c r="AA2791" s="129"/>
      <c r="AB2791" s="129"/>
      <c r="AC2791" s="129"/>
      <c r="AD2791" s="129"/>
      <c r="AE2791" s="129"/>
      <c r="AF2791" s="129"/>
      <c r="AG2791" s="129"/>
    </row>
    <row r="2792" spans="1:33" ht="14.25">
      <c r="A2792" s="190"/>
      <c r="B2792" s="579" t="s">
        <v>909</v>
      </c>
      <c r="C2792" s="579"/>
      <c r="D2792" s="579"/>
      <c r="E2792" s="579"/>
      <c r="F2792" s="579"/>
      <c r="G2792" s="579"/>
      <c r="H2792" s="579"/>
      <c r="I2792" s="579"/>
      <c r="J2792" s="579"/>
      <c r="K2792" s="579"/>
      <c r="L2792" s="579"/>
      <c r="M2792" s="579"/>
      <c r="N2792" s="579"/>
      <c r="P2792" s="339"/>
      <c r="Y2792" s="129"/>
      <c r="Z2792" s="129"/>
      <c r="AA2792" s="129"/>
      <c r="AB2792" s="129"/>
      <c r="AC2792" s="129"/>
      <c r="AD2792" s="129"/>
      <c r="AE2792" s="129"/>
      <c r="AF2792" s="129"/>
      <c r="AG2792" s="129"/>
    </row>
    <row r="2793" spans="1:33" ht="14.25">
      <c r="A2793" s="190"/>
      <c r="B2793" s="272"/>
      <c r="C2793" s="272"/>
      <c r="D2793" s="272"/>
      <c r="E2793" s="272"/>
      <c r="F2793" s="272"/>
      <c r="G2793" s="272"/>
      <c r="H2793" s="272"/>
      <c r="I2793" s="272"/>
      <c r="J2793" s="272"/>
      <c r="K2793" s="272"/>
      <c r="L2793" s="272"/>
      <c r="M2793" s="272"/>
      <c r="N2793" s="272"/>
      <c r="P2793" s="339"/>
      <c r="R2793" s="129"/>
      <c r="S2793" s="129"/>
      <c r="T2793" s="129"/>
      <c r="U2793" s="129"/>
      <c r="V2793" s="129"/>
      <c r="W2793" s="129"/>
      <c r="X2793" s="129"/>
      <c r="Y2793" s="129"/>
      <c r="Z2793" s="129"/>
      <c r="AA2793" s="129"/>
      <c r="AB2793" s="129"/>
      <c r="AC2793" s="129"/>
      <c r="AD2793" s="129"/>
      <c r="AE2793" s="129"/>
      <c r="AF2793" s="129"/>
      <c r="AG2793" s="129"/>
    </row>
    <row r="2794" spans="1:33" ht="14.25">
      <c r="A2794" s="190"/>
      <c r="C2794" s="193" t="s">
        <v>77</v>
      </c>
      <c r="E2794" s="193"/>
      <c r="G2794" s="193"/>
      <c r="I2794" s="193"/>
      <c r="P2794" s="339"/>
      <c r="R2794" s="129"/>
      <c r="S2794" s="129"/>
      <c r="T2794" s="129"/>
      <c r="U2794" s="129"/>
      <c r="V2794" s="129"/>
      <c r="W2794" s="129"/>
      <c r="X2794" s="129"/>
      <c r="Y2794" s="129"/>
      <c r="Z2794" s="129"/>
      <c r="AA2794" s="129"/>
      <c r="AB2794" s="129"/>
      <c r="AC2794" s="129"/>
      <c r="AD2794" s="129"/>
      <c r="AE2794" s="129"/>
      <c r="AF2794" s="129"/>
      <c r="AG2794" s="129"/>
    </row>
    <row r="2795" spans="1:33">
      <c r="A2795" s="190"/>
      <c r="B2795" s="191" t="s">
        <v>92</v>
      </c>
      <c r="C2795" s="274">
        <f>C2788</f>
        <v>609.98799999999994</v>
      </c>
      <c r="D2795" s="191" t="s">
        <v>42</v>
      </c>
      <c r="E2795" s="193"/>
      <c r="F2795" s="294"/>
      <c r="G2795" s="193"/>
      <c r="I2795" s="193"/>
      <c r="P2795" s="339"/>
      <c r="Q2795" s="317"/>
      <c r="R2795" s="129"/>
      <c r="S2795" s="129"/>
      <c r="T2795" s="129"/>
      <c r="U2795" s="129"/>
      <c r="V2795" s="129"/>
      <c r="W2795" s="129"/>
      <c r="X2795" s="129"/>
      <c r="Y2795" s="129"/>
      <c r="Z2795" s="129"/>
      <c r="AA2795" s="129"/>
      <c r="AB2795" s="129"/>
      <c r="AC2795" s="129"/>
      <c r="AD2795" s="129"/>
      <c r="AE2795" s="129"/>
      <c r="AF2795" s="129"/>
      <c r="AG2795" s="129"/>
    </row>
    <row r="2796" spans="1:33" ht="14.25" customHeight="1">
      <c r="A2796" s="190"/>
      <c r="C2796" s="193"/>
      <c r="E2796" s="193"/>
      <c r="G2796" s="193"/>
      <c r="I2796" s="193"/>
      <c r="P2796" s="339"/>
      <c r="Q2796" s="129"/>
      <c r="R2796" s="129"/>
      <c r="S2796" s="129"/>
      <c r="T2796" s="129"/>
      <c r="U2796" s="129"/>
      <c r="V2796" s="129"/>
      <c r="W2796" s="129"/>
      <c r="X2796" s="129"/>
      <c r="Y2796" s="129"/>
      <c r="Z2796" s="129"/>
      <c r="AA2796" s="129"/>
      <c r="AB2796" s="129"/>
      <c r="AC2796" s="129"/>
      <c r="AD2796" s="129"/>
      <c r="AE2796" s="129"/>
      <c r="AF2796" s="129"/>
      <c r="AG2796" s="129"/>
    </row>
    <row r="2797" spans="1:33" ht="14.25" customHeight="1">
      <c r="A2797" s="247" t="s">
        <v>886</v>
      </c>
      <c r="B2797" s="544" t="s">
        <v>912</v>
      </c>
      <c r="C2797" s="550"/>
      <c r="D2797" s="550"/>
      <c r="E2797" s="550"/>
      <c r="F2797" s="550"/>
      <c r="G2797" s="550"/>
      <c r="H2797" s="550"/>
      <c r="I2797" s="550"/>
      <c r="J2797" s="550"/>
      <c r="K2797" s="550"/>
      <c r="L2797" s="550"/>
      <c r="M2797" s="550"/>
      <c r="N2797" s="550"/>
      <c r="O2797" s="346">
        <v>88415</v>
      </c>
      <c r="Q2797" s="129"/>
      <c r="R2797" s="129"/>
      <c r="S2797" s="129"/>
      <c r="T2797" s="129"/>
      <c r="U2797" s="129"/>
      <c r="V2797" s="129"/>
      <c r="W2797" s="129"/>
      <c r="X2797" s="129"/>
      <c r="Y2797" s="129"/>
      <c r="Z2797" s="129"/>
      <c r="AA2797" s="129"/>
      <c r="AB2797" s="129"/>
      <c r="AC2797" s="129"/>
      <c r="AD2797" s="129"/>
      <c r="AE2797" s="129"/>
      <c r="AF2797" s="129"/>
      <c r="AG2797" s="129"/>
    </row>
    <row r="2798" spans="1:33" ht="14.25" customHeight="1">
      <c r="A2798" s="190"/>
      <c r="B2798" s="246"/>
      <c r="C2798" s="246"/>
      <c r="D2798" s="246"/>
      <c r="E2798" s="246"/>
      <c r="F2798" s="246"/>
      <c r="G2798" s="246"/>
      <c r="H2798" s="246"/>
      <c r="I2798" s="246"/>
      <c r="J2798" s="246"/>
      <c r="K2798" s="246"/>
      <c r="L2798" s="246"/>
      <c r="M2798" s="246"/>
      <c r="N2798" s="246"/>
      <c r="P2798" s="346"/>
      <c r="Q2798" s="129"/>
      <c r="R2798" s="129"/>
      <c r="S2798" s="129"/>
      <c r="T2798" s="129"/>
      <c r="U2798" s="129"/>
      <c r="V2798" s="129"/>
      <c r="W2798" s="129"/>
      <c r="X2798" s="129"/>
      <c r="Y2798" s="129"/>
      <c r="Z2798" s="129"/>
      <c r="AA2798" s="129"/>
      <c r="AB2798" s="129"/>
      <c r="AC2798" s="129"/>
      <c r="AD2798" s="129"/>
      <c r="AE2798" s="129"/>
      <c r="AF2798" s="129"/>
      <c r="AG2798" s="129"/>
    </row>
    <row r="2799" spans="1:33" ht="14.25" customHeight="1">
      <c r="A2799" s="331"/>
      <c r="B2799" s="191"/>
      <c r="C2799" s="193" t="s">
        <v>75</v>
      </c>
      <c r="E2799" s="193" t="s">
        <v>76</v>
      </c>
      <c r="G2799" s="193" t="s">
        <v>129</v>
      </c>
      <c r="I2799" s="128" t="s">
        <v>77</v>
      </c>
      <c r="P2799" s="339"/>
      <c r="Q2799" s="317"/>
      <c r="R2799" s="129"/>
      <c r="S2799" s="129"/>
      <c r="T2799" s="129"/>
      <c r="U2799" s="129"/>
      <c r="V2799" s="129"/>
      <c r="W2799" s="129"/>
      <c r="X2799" s="129"/>
      <c r="Y2799" s="129"/>
      <c r="Z2799" s="129"/>
      <c r="AA2799" s="129"/>
      <c r="AB2799" s="129"/>
      <c r="AC2799" s="129"/>
      <c r="AD2799" s="129"/>
      <c r="AE2799" s="129"/>
      <c r="AF2799" s="129"/>
      <c r="AG2799" s="129"/>
    </row>
    <row r="2800" spans="1:33" ht="14.25">
      <c r="A2800" s="331"/>
      <c r="B2800" s="128" t="s">
        <v>1334</v>
      </c>
      <c r="C2800" s="193">
        <f>C2785</f>
        <v>86.5</v>
      </c>
      <c r="D2800" s="128" t="s">
        <v>78</v>
      </c>
      <c r="E2800" s="193">
        <f>E2777</f>
        <v>0.7</v>
      </c>
      <c r="F2800" s="128" t="s">
        <v>78</v>
      </c>
      <c r="G2800" s="193">
        <v>2</v>
      </c>
      <c r="H2800" s="128" t="s">
        <v>95</v>
      </c>
      <c r="I2800" s="197">
        <f t="shared" ref="I2800:I2801" si="30">C2800*E2800*G2800</f>
        <v>121.1</v>
      </c>
      <c r="J2800" s="128" t="s">
        <v>42</v>
      </c>
      <c r="K2800" s="197"/>
      <c r="P2800" s="339"/>
      <c r="R2800" s="129"/>
      <c r="S2800" s="129"/>
      <c r="T2800" s="129"/>
      <c r="U2800" s="129"/>
      <c r="V2800" s="129"/>
      <c r="W2800" s="129"/>
      <c r="X2800" s="129"/>
      <c r="Y2800" s="129"/>
      <c r="Z2800" s="129"/>
      <c r="AA2800" s="129"/>
      <c r="AB2800" s="129"/>
      <c r="AC2800" s="129"/>
      <c r="AD2800" s="129"/>
      <c r="AE2800" s="129"/>
      <c r="AF2800" s="129"/>
      <c r="AG2800" s="129"/>
    </row>
    <row r="2801" spans="1:33" ht="14.25">
      <c r="A2801" s="331"/>
      <c r="B2801" s="128" t="s">
        <v>360</v>
      </c>
      <c r="C2801" s="193">
        <f>C2786</f>
        <v>106.28</v>
      </c>
      <c r="D2801" s="128" t="s">
        <v>78</v>
      </c>
      <c r="E2801" s="193">
        <f>E2778</f>
        <v>2.2999999999999998</v>
      </c>
      <c r="F2801" s="128" t="s">
        <v>78</v>
      </c>
      <c r="G2801" s="193">
        <v>2</v>
      </c>
      <c r="H2801" s="128" t="s">
        <v>95</v>
      </c>
      <c r="I2801" s="197">
        <f t="shared" si="30"/>
        <v>488.88799999999998</v>
      </c>
      <c r="J2801" s="128" t="s">
        <v>42</v>
      </c>
      <c r="K2801" s="197"/>
      <c r="P2801" s="339"/>
    </row>
    <row r="2802" spans="1:33" ht="14.25">
      <c r="A2802" s="331"/>
      <c r="B2802" s="193"/>
      <c r="C2802" s="193"/>
      <c r="E2802" s="193"/>
      <c r="G2802" s="193"/>
      <c r="I2802" s="193"/>
      <c r="P2802" s="339"/>
    </row>
    <row r="2803" spans="1:33">
      <c r="A2803" s="190"/>
      <c r="B2803" s="191" t="s">
        <v>92</v>
      </c>
      <c r="C2803" s="274">
        <f>SUM(I2800:I2801)</f>
        <v>609.98799999999994</v>
      </c>
      <c r="D2803" s="191" t="s">
        <v>42</v>
      </c>
      <c r="E2803" s="193"/>
      <c r="F2803" s="294"/>
      <c r="G2803" s="193"/>
      <c r="I2803" s="193"/>
      <c r="P2803" s="339"/>
    </row>
    <row r="2804" spans="1:33" ht="15" customHeight="1">
      <c r="A2804" s="190"/>
      <c r="B2804" s="191"/>
      <c r="C2804" s="274"/>
      <c r="D2804" s="191"/>
      <c r="E2804" s="193"/>
      <c r="F2804" s="294"/>
      <c r="G2804" s="193"/>
      <c r="I2804" s="193"/>
      <c r="P2804" s="339"/>
    </row>
    <row r="2805" spans="1:33">
      <c r="A2805" s="245" t="s">
        <v>887</v>
      </c>
      <c r="B2805" s="544" t="s">
        <v>168</v>
      </c>
      <c r="C2805" s="550"/>
      <c r="D2805" s="550"/>
      <c r="E2805" s="550"/>
      <c r="F2805" s="550"/>
      <c r="G2805" s="550"/>
      <c r="H2805" s="550"/>
      <c r="I2805" s="550"/>
      <c r="J2805" s="550"/>
      <c r="K2805" s="550"/>
      <c r="L2805" s="550"/>
      <c r="M2805" s="550"/>
      <c r="N2805" s="550"/>
      <c r="O2805" s="346">
        <v>88489</v>
      </c>
    </row>
    <row r="2806" spans="1:33" ht="14.25" customHeight="1">
      <c r="A2806" s="190"/>
      <c r="B2806" s="246"/>
      <c r="C2806" s="246"/>
      <c r="D2806" s="246"/>
      <c r="E2806" s="246"/>
      <c r="F2806" s="246"/>
      <c r="G2806" s="246"/>
      <c r="H2806" s="246"/>
      <c r="I2806" s="246"/>
      <c r="J2806" s="246"/>
      <c r="K2806" s="246"/>
      <c r="L2806" s="246"/>
      <c r="M2806" s="246"/>
      <c r="N2806" s="246"/>
      <c r="P2806" s="346"/>
      <c r="Q2806" s="129"/>
      <c r="R2806" s="129"/>
      <c r="S2806" s="129"/>
      <c r="T2806" s="129"/>
      <c r="U2806" s="129"/>
      <c r="V2806" s="129"/>
      <c r="W2806" s="129"/>
      <c r="X2806" s="129"/>
      <c r="Y2806" s="129"/>
      <c r="Z2806" s="129"/>
      <c r="AA2806" s="129"/>
      <c r="AB2806" s="129"/>
      <c r="AC2806" s="129"/>
      <c r="AD2806" s="129"/>
      <c r="AE2806" s="129"/>
      <c r="AF2806" s="129"/>
      <c r="AG2806" s="129"/>
    </row>
    <row r="2807" spans="1:33">
      <c r="A2807" s="331"/>
      <c r="B2807" s="191"/>
      <c r="C2807" s="193" t="s">
        <v>75</v>
      </c>
      <c r="E2807" s="193" t="s">
        <v>76</v>
      </c>
      <c r="G2807" s="193" t="s">
        <v>129</v>
      </c>
      <c r="I2807" s="128" t="s">
        <v>77</v>
      </c>
      <c r="P2807" s="339"/>
    </row>
    <row r="2808" spans="1:33" ht="14.25" customHeight="1">
      <c r="A2808" s="331"/>
      <c r="B2808" s="128" t="s">
        <v>359</v>
      </c>
      <c r="C2808" s="193">
        <f>C2800</f>
        <v>86.5</v>
      </c>
      <c r="D2808" s="128" t="s">
        <v>78</v>
      </c>
      <c r="E2808" s="193">
        <f>E2785</f>
        <v>0.7</v>
      </c>
      <c r="F2808" s="128" t="s">
        <v>78</v>
      </c>
      <c r="G2808" s="193">
        <v>2</v>
      </c>
      <c r="H2808" s="128" t="s">
        <v>95</v>
      </c>
      <c r="I2808" s="197">
        <f t="shared" ref="I2808:I2809" si="31">C2808*E2808*G2808</f>
        <v>121.1</v>
      </c>
      <c r="J2808" s="128" t="s">
        <v>42</v>
      </c>
      <c r="K2808" s="197"/>
      <c r="P2808" s="339"/>
    </row>
    <row r="2809" spans="1:33" ht="14.25" customHeight="1">
      <c r="A2809" s="331"/>
      <c r="B2809" s="128" t="s">
        <v>498</v>
      </c>
      <c r="C2809" s="193">
        <f t="shared" ref="C2809" si="32">C2801</f>
        <v>106.28</v>
      </c>
      <c r="D2809" s="128" t="s">
        <v>78</v>
      </c>
      <c r="E2809" s="193">
        <f>E2786</f>
        <v>2.2999999999999998</v>
      </c>
      <c r="F2809" s="128" t="s">
        <v>78</v>
      </c>
      <c r="G2809" s="193">
        <v>2</v>
      </c>
      <c r="H2809" s="128" t="s">
        <v>95</v>
      </c>
      <c r="I2809" s="197">
        <f t="shared" si="31"/>
        <v>488.88799999999998</v>
      </c>
      <c r="J2809" s="128" t="s">
        <v>42</v>
      </c>
      <c r="K2809" s="197"/>
      <c r="P2809" s="339"/>
    </row>
    <row r="2810" spans="1:33" ht="14.25">
      <c r="A2810" s="331"/>
      <c r="B2810" s="193"/>
      <c r="C2810" s="193"/>
      <c r="E2810" s="193"/>
      <c r="G2810" s="193"/>
      <c r="I2810" s="193"/>
      <c r="P2810" s="339"/>
    </row>
    <row r="2811" spans="1:33">
      <c r="A2811" s="190"/>
      <c r="B2811" s="191" t="s">
        <v>92</v>
      </c>
      <c r="C2811" s="274">
        <f>SUM(I2808:I2809)</f>
        <v>609.98799999999994</v>
      </c>
      <c r="D2811" s="191" t="s">
        <v>42</v>
      </c>
      <c r="E2811" s="193"/>
      <c r="F2811" s="294"/>
      <c r="G2811" s="193"/>
      <c r="I2811" s="193"/>
      <c r="P2811" s="339"/>
    </row>
    <row r="2812" spans="1:33" ht="15" customHeight="1">
      <c r="A2812" s="190"/>
      <c r="B2812" s="191"/>
      <c r="C2812" s="274"/>
      <c r="D2812" s="191"/>
      <c r="E2812" s="193"/>
      <c r="F2812" s="294"/>
      <c r="G2812" s="193"/>
      <c r="I2812" s="193"/>
      <c r="P2812" s="339"/>
    </row>
    <row r="2813" spans="1:33">
      <c r="A2813" s="245" t="s">
        <v>888</v>
      </c>
      <c r="B2813" s="586" t="s">
        <v>953</v>
      </c>
      <c r="C2813" s="586"/>
      <c r="D2813" s="586"/>
      <c r="E2813" s="586"/>
      <c r="F2813" s="586"/>
      <c r="G2813" s="586"/>
      <c r="H2813" s="586"/>
      <c r="I2813" s="586"/>
      <c r="J2813" s="586"/>
      <c r="K2813" s="586"/>
      <c r="L2813" s="586"/>
      <c r="M2813" s="586"/>
      <c r="N2813" s="586"/>
      <c r="O2813" s="348" t="s">
        <v>1012</v>
      </c>
      <c r="P2813" s="350" t="s">
        <v>74</v>
      </c>
    </row>
    <row r="2814" spans="1:33" ht="14.25" customHeight="1">
      <c r="A2814" s="190"/>
      <c r="C2814" s="193"/>
      <c r="E2814" s="193"/>
      <c r="G2814" s="193"/>
      <c r="O2814" s="339"/>
      <c r="Q2814" s="129"/>
      <c r="R2814" s="129"/>
      <c r="S2814" s="129"/>
      <c r="T2814" s="129"/>
      <c r="U2814" s="129"/>
      <c r="V2814" s="129"/>
      <c r="W2814" s="129"/>
      <c r="X2814" s="129"/>
      <c r="Y2814" s="129"/>
      <c r="Z2814" s="129"/>
      <c r="AA2814" s="129"/>
      <c r="AB2814" s="129"/>
      <c r="AC2814" s="129"/>
      <c r="AD2814" s="129"/>
      <c r="AE2814" s="129"/>
      <c r="AF2814" s="129"/>
      <c r="AG2814" s="129"/>
    </row>
    <row r="2815" spans="1:33">
      <c r="A2815" s="190"/>
      <c r="B2815" s="332"/>
      <c r="C2815" s="333" t="s">
        <v>75</v>
      </c>
      <c r="E2815" s="333"/>
      <c r="G2815" s="333"/>
      <c r="O2815" s="392"/>
    </row>
    <row r="2816" spans="1:33" ht="14.25" customHeight="1">
      <c r="A2816" s="190"/>
      <c r="B2816" s="332" t="s">
        <v>92</v>
      </c>
      <c r="C2816" s="334">
        <f>C2801</f>
        <v>106.28</v>
      </c>
      <c r="D2816" s="332" t="s">
        <v>93</v>
      </c>
      <c r="E2816" s="333"/>
      <c r="F2816" s="335"/>
      <c r="G2816" s="333"/>
      <c r="H2816" s="335"/>
      <c r="O2816" s="392"/>
    </row>
    <row r="2817" spans="1:16" ht="14.25" customHeight="1">
      <c r="A2817" s="190"/>
      <c r="C2817" s="193"/>
      <c r="E2817" s="193"/>
      <c r="G2817" s="193"/>
      <c r="O2817" s="339"/>
    </row>
    <row r="2818" spans="1:16">
      <c r="A2818" s="188" t="s">
        <v>201</v>
      </c>
      <c r="B2818" s="551" t="s">
        <v>67</v>
      </c>
      <c r="C2818" s="552"/>
      <c r="D2818" s="552"/>
      <c r="E2818" s="552"/>
      <c r="F2818" s="552"/>
      <c r="G2818" s="552"/>
      <c r="H2818" s="552"/>
      <c r="I2818" s="552"/>
      <c r="J2818" s="552"/>
      <c r="K2818" s="552"/>
      <c r="L2818" s="552"/>
      <c r="M2818" s="552"/>
      <c r="N2818" s="552"/>
      <c r="O2818" s="346"/>
      <c r="P2818" s="347"/>
    </row>
    <row r="2819" spans="1:16" ht="14.25" customHeight="1">
      <c r="A2819" s="190"/>
      <c r="C2819" s="193"/>
      <c r="E2819" s="193"/>
      <c r="G2819" s="193"/>
      <c r="O2819" s="339"/>
    </row>
    <row r="2820" spans="1:16" ht="15" customHeight="1">
      <c r="A2820" s="245" t="s">
        <v>254</v>
      </c>
      <c r="B2820" s="544" t="s">
        <v>205</v>
      </c>
      <c r="C2820" s="550"/>
      <c r="D2820" s="550"/>
      <c r="E2820" s="550"/>
      <c r="F2820" s="550"/>
      <c r="G2820" s="550"/>
      <c r="H2820" s="550"/>
      <c r="I2820" s="550"/>
      <c r="J2820" s="550"/>
      <c r="K2820" s="550"/>
      <c r="L2820" s="550"/>
      <c r="M2820" s="550"/>
      <c r="N2820" s="550"/>
      <c r="O2820" s="355" t="s">
        <v>68</v>
      </c>
    </row>
    <row r="2821" spans="1:16" ht="14.25" customHeight="1">
      <c r="A2821" s="190"/>
      <c r="C2821" s="193"/>
      <c r="E2821" s="193"/>
      <c r="G2821" s="193"/>
      <c r="P2821" s="339"/>
    </row>
    <row r="2822" spans="1:16" ht="14.25" customHeight="1">
      <c r="A2822" s="190"/>
      <c r="C2822" s="128" t="s">
        <v>945</v>
      </c>
      <c r="E2822" s="128" t="s">
        <v>87</v>
      </c>
      <c r="G2822" s="193" t="s">
        <v>208</v>
      </c>
      <c r="I2822" s="128" t="s">
        <v>209</v>
      </c>
      <c r="P2822" s="339"/>
    </row>
    <row r="2823" spans="1:16" ht="14.25" customHeight="1">
      <c r="A2823" s="190"/>
      <c r="B2823" s="128" t="s">
        <v>1233</v>
      </c>
      <c r="C2823" s="193">
        <f>4*5</f>
        <v>20</v>
      </c>
      <c r="D2823" s="128" t="s">
        <v>946</v>
      </c>
      <c r="E2823" s="193">
        <v>4</v>
      </c>
      <c r="F2823" s="128" t="s">
        <v>947</v>
      </c>
      <c r="G2823" s="193">
        <v>5</v>
      </c>
      <c r="H2823" s="128" t="s">
        <v>212</v>
      </c>
      <c r="I2823" s="197">
        <f>C2823*E2823*G2823</f>
        <v>400</v>
      </c>
      <c r="J2823" s="128" t="s">
        <v>213</v>
      </c>
      <c r="P2823" s="339"/>
    </row>
    <row r="2824" spans="1:16" ht="15" customHeight="1">
      <c r="A2824" s="190"/>
      <c r="C2824" s="193"/>
      <c r="D2824" s="191"/>
      <c r="E2824" s="193"/>
      <c r="G2824" s="193"/>
      <c r="P2824" s="339"/>
    </row>
    <row r="2825" spans="1:16" ht="14.25" customHeight="1">
      <c r="A2825" s="190"/>
      <c r="B2825" s="191" t="s">
        <v>92</v>
      </c>
      <c r="C2825" s="274">
        <f>I2823</f>
        <v>400</v>
      </c>
      <c r="D2825" s="191" t="s">
        <v>213</v>
      </c>
      <c r="E2825" s="193"/>
      <c r="G2825" s="193"/>
      <c r="L2825" s="294"/>
      <c r="P2825" s="339"/>
    </row>
    <row r="2826" spans="1:16" ht="14.25" customHeight="1">
      <c r="A2826" s="190"/>
      <c r="B2826" s="191"/>
      <c r="C2826" s="192"/>
      <c r="D2826" s="191"/>
      <c r="E2826" s="193"/>
      <c r="G2826" s="193"/>
      <c r="P2826" s="339"/>
    </row>
    <row r="2827" spans="1:16" ht="14.25" customHeight="1">
      <c r="A2827" s="245" t="s">
        <v>255</v>
      </c>
      <c r="B2827" s="544" t="s">
        <v>214</v>
      </c>
      <c r="C2827" s="550"/>
      <c r="D2827" s="550"/>
      <c r="E2827" s="550"/>
      <c r="F2827" s="550"/>
      <c r="G2827" s="550"/>
      <c r="H2827" s="550"/>
      <c r="I2827" s="550"/>
      <c r="J2827" s="550"/>
      <c r="K2827" s="550"/>
      <c r="L2827" s="550"/>
      <c r="M2827" s="550"/>
      <c r="N2827" s="550"/>
      <c r="O2827" s="355" t="s">
        <v>69</v>
      </c>
    </row>
    <row r="2828" spans="1:16" ht="14.25" customHeight="1">
      <c r="A2828" s="190"/>
      <c r="C2828" s="193"/>
      <c r="E2828" s="193"/>
      <c r="G2828" s="193"/>
      <c r="O2828" s="339"/>
    </row>
    <row r="2829" spans="1:16" ht="15" customHeight="1">
      <c r="A2829" s="190"/>
      <c r="C2829" s="128" t="s">
        <v>945</v>
      </c>
      <c r="E2829" s="128" t="s">
        <v>87</v>
      </c>
      <c r="G2829" s="193" t="s">
        <v>208</v>
      </c>
      <c r="I2829" s="128" t="s">
        <v>209</v>
      </c>
      <c r="P2829" s="339"/>
    </row>
    <row r="2830" spans="1:16" ht="14.25" customHeight="1">
      <c r="A2830" s="190"/>
      <c r="B2830" s="128" t="s">
        <v>1233</v>
      </c>
      <c r="C2830" s="193">
        <v>40</v>
      </c>
      <c r="D2830" s="128" t="s">
        <v>946</v>
      </c>
      <c r="E2830" s="193">
        <v>4</v>
      </c>
      <c r="F2830" s="128" t="s">
        <v>947</v>
      </c>
      <c r="G2830" s="193">
        <f>G2823</f>
        <v>5</v>
      </c>
      <c r="H2830" s="128" t="s">
        <v>212</v>
      </c>
      <c r="I2830" s="197">
        <f>C2830*G2830*E2830</f>
        <v>800</v>
      </c>
      <c r="J2830" s="128" t="s">
        <v>213</v>
      </c>
      <c r="P2830" s="339"/>
    </row>
    <row r="2831" spans="1:16" ht="15" customHeight="1">
      <c r="A2831" s="190"/>
      <c r="C2831" s="193"/>
      <c r="D2831" s="191"/>
      <c r="E2831" s="193"/>
      <c r="G2831" s="193"/>
      <c r="P2831" s="339"/>
    </row>
    <row r="2832" spans="1:16" ht="14.25" customHeight="1">
      <c r="A2832" s="190"/>
      <c r="B2832" s="191" t="s">
        <v>92</v>
      </c>
      <c r="C2832" s="274">
        <f>I2830</f>
        <v>800</v>
      </c>
      <c r="D2832" s="191" t="s">
        <v>213</v>
      </c>
      <c r="E2832" s="193"/>
      <c r="G2832" s="193"/>
      <c r="K2832" s="294"/>
      <c r="P2832" s="339"/>
    </row>
    <row r="2833" spans="1:33" ht="14.25" customHeight="1">
      <c r="A2833" s="190"/>
      <c r="C2833" s="193"/>
      <c r="E2833" s="193"/>
      <c r="G2833" s="193"/>
      <c r="O2833" s="339"/>
    </row>
    <row r="2834" spans="1:33" ht="14.25" customHeight="1">
      <c r="A2834" s="245" t="s">
        <v>889</v>
      </c>
      <c r="B2834" s="544" t="s">
        <v>215</v>
      </c>
      <c r="C2834" s="550"/>
      <c r="D2834" s="550"/>
      <c r="E2834" s="550"/>
      <c r="F2834" s="550"/>
      <c r="G2834" s="550"/>
      <c r="H2834" s="550"/>
      <c r="I2834" s="550"/>
      <c r="J2834" s="550"/>
      <c r="K2834" s="550"/>
      <c r="L2834" s="550"/>
      <c r="M2834" s="550"/>
      <c r="N2834" s="550"/>
      <c r="O2834" s="252">
        <v>88326</v>
      </c>
    </row>
    <row r="2835" spans="1:33" ht="14.25" customHeight="1">
      <c r="A2835" s="190"/>
      <c r="C2835" s="193"/>
      <c r="E2835" s="193"/>
      <c r="G2835" s="192"/>
      <c r="H2835" s="191"/>
      <c r="O2835" s="339"/>
    </row>
    <row r="2836" spans="1:33" ht="15" customHeight="1">
      <c r="A2836" s="190"/>
      <c r="C2836" s="128" t="s">
        <v>206</v>
      </c>
      <c r="E2836" s="193" t="s">
        <v>207</v>
      </c>
      <c r="G2836" s="193" t="s">
        <v>208</v>
      </c>
      <c r="I2836" s="128" t="s">
        <v>950</v>
      </c>
      <c r="K2836" s="128" t="s">
        <v>209</v>
      </c>
      <c r="P2836" s="339"/>
    </row>
    <row r="2837" spans="1:33" ht="14.25" customHeight="1">
      <c r="A2837" s="190"/>
      <c r="B2837" s="128" t="s">
        <v>1233</v>
      </c>
      <c r="C2837" s="193">
        <v>10</v>
      </c>
      <c r="D2837" s="128" t="s">
        <v>210</v>
      </c>
      <c r="E2837" s="193">
        <v>30</v>
      </c>
      <c r="F2837" s="128" t="s">
        <v>211</v>
      </c>
      <c r="G2837" s="193">
        <f>G2830</f>
        <v>5</v>
      </c>
      <c r="H2837" s="128" t="s">
        <v>949</v>
      </c>
      <c r="I2837" s="193">
        <v>1</v>
      </c>
      <c r="J2837" s="128" t="s">
        <v>95</v>
      </c>
      <c r="K2837" s="197">
        <f>C2837*E2837*G2837*I2837</f>
        <v>1500</v>
      </c>
      <c r="L2837" s="128" t="s">
        <v>213</v>
      </c>
      <c r="P2837" s="388"/>
      <c r="S2837" s="294"/>
    </row>
    <row r="2838" spans="1:33" ht="15" customHeight="1">
      <c r="A2838" s="190"/>
      <c r="C2838" s="193"/>
      <c r="D2838" s="191"/>
      <c r="E2838" s="193"/>
      <c r="G2838" s="193"/>
      <c r="K2838" s="294"/>
      <c r="P2838" s="350"/>
      <c r="Q2838" s="129"/>
      <c r="R2838" s="129"/>
      <c r="S2838" s="294"/>
    </row>
    <row r="2839" spans="1:33" ht="14.25" customHeight="1">
      <c r="A2839" s="190"/>
      <c r="B2839" s="191" t="s">
        <v>92</v>
      </c>
      <c r="C2839" s="274">
        <f>K2837</f>
        <v>1500</v>
      </c>
      <c r="D2839" s="191" t="s">
        <v>213</v>
      </c>
      <c r="E2839" s="193"/>
      <c r="G2839" s="193"/>
      <c r="P2839" s="339"/>
    </row>
    <row r="2840" spans="1:33" ht="14.25" customHeight="1">
      <c r="A2840" s="190"/>
      <c r="C2840" s="193"/>
      <c r="E2840" s="193"/>
      <c r="G2840" s="193"/>
      <c r="O2840" s="339"/>
    </row>
    <row r="2841" spans="1:33" ht="14.25" customHeight="1">
      <c r="A2841" s="245" t="s">
        <v>890</v>
      </c>
      <c r="B2841" s="544" t="s">
        <v>948</v>
      </c>
      <c r="C2841" s="550"/>
      <c r="D2841" s="550"/>
      <c r="E2841" s="550"/>
      <c r="F2841" s="550"/>
      <c r="G2841" s="550"/>
      <c r="H2841" s="550"/>
      <c r="I2841" s="550"/>
      <c r="J2841" s="550"/>
      <c r="K2841" s="550"/>
      <c r="L2841" s="550"/>
      <c r="M2841" s="550"/>
      <c r="N2841" s="550"/>
      <c r="O2841" s="346">
        <v>100309</v>
      </c>
      <c r="P2841" s="347"/>
    </row>
    <row r="2842" spans="1:33" ht="14.25" customHeight="1">
      <c r="A2842" s="190"/>
      <c r="C2842" s="193"/>
      <c r="E2842" s="193"/>
      <c r="G2842" s="193"/>
      <c r="O2842" s="339"/>
    </row>
    <row r="2843" spans="1:33" ht="15.75" customHeight="1">
      <c r="A2843" s="190"/>
      <c r="C2843" s="128" t="s">
        <v>945</v>
      </c>
      <c r="E2843" s="128" t="s">
        <v>87</v>
      </c>
      <c r="G2843" s="193" t="s">
        <v>208</v>
      </c>
      <c r="I2843" s="128" t="s">
        <v>209</v>
      </c>
      <c r="O2843" s="339"/>
    </row>
    <row r="2844" spans="1:33" ht="14.25" customHeight="1">
      <c r="A2844" s="190"/>
      <c r="B2844" s="128" t="s">
        <v>1233</v>
      </c>
      <c r="C2844" s="193">
        <v>40</v>
      </c>
      <c r="D2844" s="128" t="s">
        <v>946</v>
      </c>
      <c r="E2844" s="193">
        <v>4</v>
      </c>
      <c r="F2844" s="128" t="s">
        <v>947</v>
      </c>
      <c r="G2844" s="193">
        <f>G2837</f>
        <v>5</v>
      </c>
      <c r="H2844" s="128" t="s">
        <v>212</v>
      </c>
      <c r="I2844" s="197">
        <f>C2844*G2844*E2844</f>
        <v>800</v>
      </c>
      <c r="J2844" s="128" t="s">
        <v>213</v>
      </c>
      <c r="P2844" s="339"/>
    </row>
    <row r="2845" spans="1:33" ht="14.25" customHeight="1">
      <c r="A2845" s="190"/>
      <c r="C2845" s="193"/>
      <c r="D2845" s="191"/>
      <c r="E2845" s="193"/>
      <c r="G2845" s="193"/>
      <c r="P2845" s="339"/>
      <c r="Q2845" s="340"/>
      <c r="R2845" s="295"/>
      <c r="S2845" s="129"/>
      <c r="T2845" s="129"/>
      <c r="U2845" s="129"/>
      <c r="V2845" s="129"/>
      <c r="W2845" s="129"/>
      <c r="X2845" s="129"/>
      <c r="Y2845" s="129"/>
      <c r="Z2845" s="129"/>
      <c r="AA2845" s="129"/>
      <c r="AB2845" s="129"/>
      <c r="AC2845" s="129"/>
      <c r="AD2845" s="129"/>
      <c r="AE2845" s="129"/>
      <c r="AF2845" s="129"/>
      <c r="AG2845" s="129"/>
    </row>
    <row r="2846" spans="1:33" ht="14.25" customHeight="1">
      <c r="A2846" s="190"/>
      <c r="B2846" s="191" t="s">
        <v>92</v>
      </c>
      <c r="C2846" s="274">
        <f>I2844</f>
        <v>800</v>
      </c>
      <c r="D2846" s="191" t="s">
        <v>213</v>
      </c>
      <c r="E2846" s="193"/>
      <c r="G2846" s="193"/>
      <c r="O2846" s="339"/>
    </row>
    <row r="2847" spans="1:33" ht="14.25" customHeight="1">
      <c r="A2847" s="190"/>
      <c r="C2847" s="193"/>
      <c r="E2847" s="193"/>
      <c r="G2847" s="193"/>
      <c r="O2847" s="339"/>
    </row>
    <row r="2848" spans="1:33" ht="14.25" customHeight="1">
      <c r="A2848" s="245" t="s">
        <v>891</v>
      </c>
      <c r="B2848" s="544" t="s">
        <v>1134</v>
      </c>
      <c r="C2848" s="544"/>
      <c r="D2848" s="544"/>
      <c r="E2848" s="544"/>
      <c r="F2848" s="544"/>
      <c r="G2848" s="544"/>
      <c r="H2848" s="544"/>
      <c r="I2848" s="544"/>
      <c r="J2848" s="544"/>
      <c r="K2848" s="544"/>
      <c r="L2848" s="544"/>
      <c r="M2848" s="544"/>
      <c r="N2848" s="544"/>
      <c r="O2848" s="393" t="s">
        <v>1265</v>
      </c>
      <c r="P2848" s="347" t="s">
        <v>1099</v>
      </c>
    </row>
    <row r="2849" spans="1:33" ht="14.25" customHeight="1">
      <c r="A2849" s="190"/>
      <c r="C2849" s="193"/>
      <c r="E2849" s="193"/>
      <c r="G2849" s="193"/>
      <c r="O2849" s="339"/>
    </row>
    <row r="2850" spans="1:33" ht="15.75" customHeight="1">
      <c r="A2850" s="190"/>
      <c r="C2850" s="128" t="s">
        <v>1136</v>
      </c>
      <c r="G2850" s="193"/>
      <c r="O2850" s="339"/>
    </row>
    <row r="2851" spans="1:33" ht="14.25" customHeight="1">
      <c r="A2851" s="190"/>
      <c r="B2851" s="191" t="s">
        <v>92</v>
      </c>
      <c r="C2851" s="274">
        <f>G2823</f>
        <v>5</v>
      </c>
      <c r="D2851" s="191" t="s">
        <v>1135</v>
      </c>
      <c r="E2851" s="193"/>
      <c r="G2851" s="193"/>
      <c r="O2851" s="339"/>
    </row>
    <row r="2852" spans="1:33" ht="14.25" customHeight="1">
      <c r="A2852" s="190"/>
      <c r="C2852" s="193"/>
      <c r="E2852" s="193"/>
      <c r="G2852" s="193"/>
      <c r="O2852" s="339"/>
    </row>
    <row r="2853" spans="1:33" ht="14.25" customHeight="1">
      <c r="A2853" s="188" t="s">
        <v>892</v>
      </c>
      <c r="B2853" s="551" t="s">
        <v>70</v>
      </c>
      <c r="C2853" s="552"/>
      <c r="D2853" s="552"/>
      <c r="E2853" s="552"/>
      <c r="F2853" s="552"/>
      <c r="G2853" s="552"/>
      <c r="H2853" s="552"/>
      <c r="I2853" s="552"/>
      <c r="J2853" s="552"/>
      <c r="K2853" s="552"/>
      <c r="L2853" s="552"/>
      <c r="M2853" s="552"/>
      <c r="N2853" s="552"/>
      <c r="O2853" s="346"/>
      <c r="P2853" s="347"/>
    </row>
    <row r="2854" spans="1:33" ht="14.25" customHeight="1">
      <c r="A2854" s="190"/>
      <c r="C2854" s="193"/>
      <c r="E2854" s="193"/>
      <c r="G2854" s="193"/>
      <c r="O2854" s="339"/>
    </row>
    <row r="2855" spans="1:33" ht="14.25" customHeight="1">
      <c r="A2855" s="245" t="s">
        <v>893</v>
      </c>
      <c r="B2855" s="553" t="s">
        <v>216</v>
      </c>
      <c r="C2855" s="550"/>
      <c r="D2855" s="550"/>
      <c r="E2855" s="550"/>
      <c r="F2855" s="550"/>
      <c r="G2855" s="550"/>
      <c r="H2855" s="550"/>
      <c r="I2855" s="550"/>
      <c r="J2855" s="550"/>
      <c r="K2855" s="550"/>
      <c r="L2855" s="550"/>
      <c r="M2855" s="550"/>
      <c r="N2855" s="550"/>
      <c r="O2855" s="252">
        <v>99803</v>
      </c>
      <c r="P2855" s="350"/>
    </row>
    <row r="2856" spans="1:33" ht="14.25" customHeight="1">
      <c r="A2856" s="190"/>
      <c r="C2856" s="193"/>
      <c r="E2856" s="193"/>
      <c r="G2856" s="193"/>
      <c r="O2856" s="339"/>
      <c r="Q2856" s="275"/>
    </row>
    <row r="2857" spans="1:33" ht="14.25" customHeight="1">
      <c r="A2857" s="190"/>
      <c r="C2857" s="192" t="s">
        <v>77</v>
      </c>
      <c r="E2857" s="193"/>
      <c r="G2857" s="251"/>
      <c r="O2857" s="339"/>
      <c r="Q2857" s="275"/>
    </row>
    <row r="2858" spans="1:33" ht="14.25" customHeight="1">
      <c r="A2858" s="190"/>
      <c r="B2858" s="191" t="s">
        <v>92</v>
      </c>
      <c r="C2858" s="274">
        <f>C649+C661+C674+C731+C764+C772</f>
        <v>1831.7599999999998</v>
      </c>
      <c r="D2858" s="191" t="s">
        <v>42</v>
      </c>
      <c r="E2858" s="193"/>
      <c r="G2858" s="193"/>
      <c r="O2858" s="339"/>
    </row>
    <row r="2859" spans="1:33" ht="14.25" customHeight="1">
      <c r="A2859" s="190"/>
      <c r="C2859" s="193"/>
      <c r="E2859" s="193"/>
      <c r="G2859" s="193"/>
      <c r="O2859" s="339"/>
    </row>
    <row r="2860" spans="1:33" customFormat="1" ht="14.25" customHeight="1">
      <c r="A2860" s="278" t="s">
        <v>1120</v>
      </c>
      <c r="B2860" s="546" t="s">
        <v>1118</v>
      </c>
      <c r="C2860" s="547"/>
      <c r="D2860" s="547"/>
      <c r="E2860" s="547"/>
      <c r="F2860" s="547"/>
      <c r="G2860" s="547"/>
      <c r="H2860" s="547"/>
      <c r="I2860" s="547"/>
      <c r="J2860" s="547"/>
      <c r="K2860" s="547"/>
      <c r="L2860" s="547"/>
      <c r="M2860" s="547"/>
      <c r="N2860" s="547"/>
      <c r="O2860" s="252">
        <v>99806</v>
      </c>
      <c r="P2860" s="364"/>
      <c r="Q2860" s="25"/>
      <c r="R2860" s="25"/>
      <c r="S2860" s="25"/>
      <c r="T2860" s="25"/>
      <c r="U2860" s="25"/>
      <c r="V2860" s="25"/>
      <c r="W2860" s="25"/>
      <c r="X2860" s="25"/>
      <c r="Y2860" s="25"/>
      <c r="Z2860" s="25"/>
      <c r="AA2860" s="25"/>
      <c r="AB2860" s="25"/>
      <c r="AC2860" s="25"/>
      <c r="AD2860" s="25"/>
      <c r="AE2860" s="25"/>
      <c r="AF2860" s="25"/>
      <c r="AG2860" s="25"/>
    </row>
    <row r="2861" spans="1:33" customFormat="1" ht="15" customHeight="1">
      <c r="A2861" s="237"/>
      <c r="B2861" s="237"/>
      <c r="C2861" s="237"/>
      <c r="D2861" s="237"/>
      <c r="E2861" s="237"/>
      <c r="F2861" s="237"/>
      <c r="G2861" s="237"/>
      <c r="H2861" s="237"/>
      <c r="I2861" s="237"/>
      <c r="J2861" s="237"/>
      <c r="K2861" s="237"/>
      <c r="L2861" s="237"/>
      <c r="M2861" s="237"/>
      <c r="N2861" s="237"/>
      <c r="O2861" s="375"/>
      <c r="P2861" s="375"/>
    </row>
    <row r="2862" spans="1:33" customFormat="1" ht="15" customHeight="1">
      <c r="A2862" s="237"/>
      <c r="B2862" s="237" t="s">
        <v>1119</v>
      </c>
      <c r="C2862" s="237"/>
      <c r="D2862" s="237"/>
      <c r="E2862" s="237"/>
      <c r="F2862" s="237"/>
      <c r="G2862" s="237"/>
      <c r="H2862" s="237"/>
      <c r="I2862" s="237"/>
      <c r="J2862" s="237"/>
      <c r="K2862" s="237"/>
      <c r="L2862" s="237"/>
      <c r="M2862" s="237"/>
      <c r="N2862" s="237"/>
      <c r="O2862" s="375"/>
      <c r="P2862" s="375"/>
    </row>
    <row r="2863" spans="1:33" customFormat="1" ht="15" customHeight="1">
      <c r="A2863" s="237"/>
      <c r="B2863" s="237"/>
      <c r="C2863" s="237"/>
      <c r="D2863" s="237"/>
      <c r="E2863" s="237"/>
      <c r="F2863" s="237"/>
      <c r="G2863" s="237"/>
      <c r="H2863" s="237"/>
      <c r="I2863" s="237"/>
      <c r="J2863" s="237"/>
      <c r="K2863" s="237"/>
      <c r="L2863" s="237"/>
      <c r="M2863" s="237"/>
      <c r="N2863" s="237"/>
      <c r="O2863" s="375"/>
      <c r="P2863" s="375"/>
    </row>
    <row r="2864" spans="1:33" s="302" customFormat="1" ht="15" customHeight="1">
      <c r="B2864" s="302" t="s">
        <v>92</v>
      </c>
      <c r="C2864" s="303">
        <f>C344*2</f>
        <v>2553.8000000000002</v>
      </c>
      <c r="D2864" s="302" t="s">
        <v>42</v>
      </c>
      <c r="O2864" s="394"/>
      <c r="P2864" s="394"/>
    </row>
    <row r="2865" spans="1:33" customFormat="1" ht="15" customHeight="1">
      <c r="A2865" s="237"/>
      <c r="B2865" s="237"/>
      <c r="C2865" s="237"/>
      <c r="D2865" s="237"/>
      <c r="E2865" s="237"/>
      <c r="F2865" s="237"/>
      <c r="G2865" s="237"/>
      <c r="H2865" s="237"/>
      <c r="I2865" s="237"/>
      <c r="J2865" s="237"/>
      <c r="K2865" s="237"/>
      <c r="L2865" s="237"/>
      <c r="M2865" s="237"/>
      <c r="N2865" s="237"/>
      <c r="O2865" s="375"/>
      <c r="P2865" s="375"/>
    </row>
    <row r="2866" spans="1:33" ht="14.25" customHeight="1"/>
    <row r="2867" spans="1:33" ht="14.25" customHeight="1"/>
    <row r="2868" spans="1:33" ht="14.25" customHeight="1">
      <c r="R2868" s="129"/>
      <c r="S2868" s="129"/>
      <c r="T2868" s="129"/>
      <c r="U2868" s="129"/>
      <c r="V2868" s="129"/>
      <c r="W2868" s="129"/>
      <c r="X2868" s="129"/>
      <c r="Y2868" s="129"/>
      <c r="Z2868" s="129"/>
      <c r="AA2868" s="129"/>
      <c r="AB2868" s="129"/>
      <c r="AC2868" s="129"/>
      <c r="AD2868" s="129"/>
      <c r="AE2868" s="129"/>
      <c r="AF2868" s="129"/>
      <c r="AG2868" s="129"/>
    </row>
    <row r="2869" spans="1:33" ht="14.25" customHeight="1"/>
  </sheetData>
  <mergeCells count="489">
    <mergeCell ref="B582:N582"/>
    <mergeCell ref="B1023:N1023"/>
    <mergeCell ref="B2347:N2347"/>
    <mergeCell ref="B2317:N2317"/>
    <mergeCell ref="B2324:N2324"/>
    <mergeCell ref="B2331:N2331"/>
    <mergeCell ref="B2147:N2147"/>
    <mergeCell ref="B2152:N2152"/>
    <mergeCell ref="B2157:N2157"/>
    <mergeCell ref="B2142:N2142"/>
    <mergeCell ref="B2194:N2194"/>
    <mergeCell ref="B2256:N2256"/>
    <mergeCell ref="B1384:N1384"/>
    <mergeCell ref="B1416:N1416"/>
    <mergeCell ref="B1389:N1389"/>
    <mergeCell ref="B1339:N1339"/>
    <mergeCell ref="B1349:N1349"/>
    <mergeCell ref="B1401:N1401"/>
    <mergeCell ref="B2070:N2070"/>
    <mergeCell ref="B2172:N2172"/>
    <mergeCell ref="B2162:N2162"/>
    <mergeCell ref="B2167:N2167"/>
    <mergeCell ref="B2132:N2132"/>
    <mergeCell ref="B1374:N1374"/>
    <mergeCell ref="B1379:N1379"/>
    <mergeCell ref="B1319:N1319"/>
    <mergeCell ref="B1324:N1324"/>
    <mergeCell ref="B1329:N1329"/>
    <mergeCell ref="B1344:N1344"/>
    <mergeCell ref="B1354:N1354"/>
    <mergeCell ref="B1359:N1359"/>
    <mergeCell ref="B1364:N1364"/>
    <mergeCell ref="B1369:N1369"/>
    <mergeCell ref="B1179:N1179"/>
    <mergeCell ref="B1119:N1119"/>
    <mergeCell ref="B1204:N1204"/>
    <mergeCell ref="B1209:N1209"/>
    <mergeCell ref="B1199:N1199"/>
    <mergeCell ref="B1618:N1618"/>
    <mergeCell ref="B1628:N1628"/>
    <mergeCell ref="B1633:N1633"/>
    <mergeCell ref="B2075:N2075"/>
    <mergeCell ref="B2013:N2013"/>
    <mergeCell ref="B1678:N1678"/>
    <mergeCell ref="B1891:N1891"/>
    <mergeCell ref="B1871:N1871"/>
    <mergeCell ref="B1881:N1881"/>
    <mergeCell ref="B1923:N1923"/>
    <mergeCell ref="B1886:N1886"/>
    <mergeCell ref="B1720:N1720"/>
    <mergeCell ref="B1775:N1775"/>
    <mergeCell ref="B1787:N1787"/>
    <mergeCell ref="B1794:N1794"/>
    <mergeCell ref="B1801:N1801"/>
    <mergeCell ref="B1815:N1815"/>
    <mergeCell ref="B1856:N1856"/>
    <mergeCell ref="B2033:N2033"/>
    <mergeCell ref="B181:N181"/>
    <mergeCell ref="B191:N191"/>
    <mergeCell ref="B201:N201"/>
    <mergeCell ref="B178:N178"/>
    <mergeCell ref="B179:N179"/>
    <mergeCell ref="B591:N591"/>
    <mergeCell ref="B592:N592"/>
    <mergeCell ref="B1234:N1234"/>
    <mergeCell ref="B1239:N1239"/>
    <mergeCell ref="B843:N843"/>
    <mergeCell ref="B726:N726"/>
    <mergeCell ref="B803:N803"/>
    <mergeCell ref="B1149:N1149"/>
    <mergeCell ref="B1154:N1154"/>
    <mergeCell ref="B1159:N1159"/>
    <mergeCell ref="B696:N696"/>
    <mergeCell ref="B1224:N1224"/>
    <mergeCell ref="B710:N710"/>
    <mergeCell ref="B737:N737"/>
    <mergeCell ref="B744:N744"/>
    <mergeCell ref="B1174:N1174"/>
    <mergeCell ref="B1184:N1184"/>
    <mergeCell ref="B1169:N1169"/>
    <mergeCell ref="B1189:N1189"/>
    <mergeCell ref="B1623:N1623"/>
    <mergeCell ref="B1314:N1314"/>
    <mergeCell ref="B1284:N1284"/>
    <mergeCell ref="B1219:N1219"/>
    <mergeCell ref="B1334:N1334"/>
    <mergeCell ref="B898:N898"/>
    <mergeCell ref="B651:N651"/>
    <mergeCell ref="B560:N560"/>
    <mergeCell ref="B1259:N1259"/>
    <mergeCell ref="B1279:N1279"/>
    <mergeCell ref="B1144:N1144"/>
    <mergeCell ref="B1139:N1139"/>
    <mergeCell ref="B1229:N1229"/>
    <mergeCell ref="B782:N782"/>
    <mergeCell ref="B821:N821"/>
    <mergeCell ref="B1274:N1274"/>
    <mergeCell ref="B1129:N1129"/>
    <mergeCell ref="B1134:N1134"/>
    <mergeCell ref="B1299:N1299"/>
    <mergeCell ref="B1304:N1304"/>
    <mergeCell ref="B1309:N1309"/>
    <mergeCell ref="B1194:N1194"/>
    <mergeCell ref="B955:N955"/>
    <mergeCell ref="B1164:N1164"/>
    <mergeCell ref="B663:N663"/>
    <mergeCell ref="B836:N836"/>
    <mergeCell ref="B1073:N1073"/>
    <mergeCell ref="B929:N929"/>
    <mergeCell ref="B1092:N1092"/>
    <mergeCell ref="B440:N440"/>
    <mergeCell ref="B353:N353"/>
    <mergeCell ref="B367:N367"/>
    <mergeCell ref="B1050:N1050"/>
    <mergeCell ref="B758:N758"/>
    <mergeCell ref="B728:N728"/>
    <mergeCell ref="B735:N735"/>
    <mergeCell ref="B855:N855"/>
    <mergeCell ref="B751:N751"/>
    <mergeCell ref="B857:N857"/>
    <mergeCell ref="B565:N565"/>
    <mergeCell ref="B500:N500"/>
    <mergeCell ref="B486:N486"/>
    <mergeCell ref="B472:N472"/>
    <mergeCell ref="B493:N493"/>
    <mergeCell ref="B526:N526"/>
    <mergeCell ref="B533:N533"/>
    <mergeCell ref="B502:N502"/>
    <mergeCell ref="B519:N519"/>
    <mergeCell ref="B1109:N1109"/>
    <mergeCell ref="B1114:N1114"/>
    <mergeCell ref="B1264:N1264"/>
    <mergeCell ref="B2045:N2045"/>
    <mergeCell ref="B2055:N2055"/>
    <mergeCell ref="B2040:N2040"/>
    <mergeCell ref="B1861:N1861"/>
    <mergeCell ref="B1830:N1830"/>
    <mergeCell ref="B1729:N1729"/>
    <mergeCell ref="B1766:N1766"/>
    <mergeCell ref="B1808:N1808"/>
    <mergeCell ref="B1903:N1903"/>
    <mergeCell ref="B1965:N1965"/>
    <mergeCell ref="B1995:N1995"/>
    <mergeCell ref="B2000:N2000"/>
    <mergeCell ref="B2005:N2005"/>
    <mergeCell ref="B2018:N2018"/>
    <mergeCell ref="B2023:N2023"/>
    <mergeCell ref="B2028:N2028"/>
    <mergeCell ref="B1970:N1970"/>
    <mergeCell ref="B1975:N1975"/>
    <mergeCell ref="B1960:N1960"/>
    <mergeCell ref="B1825:N1825"/>
    <mergeCell ref="B1898:N1898"/>
    <mergeCell ref="B1866:N1866"/>
    <mergeCell ref="B1546:N1546"/>
    <mergeCell ref="B2841:N2841"/>
    <mergeCell ref="B2797:N2797"/>
    <mergeCell ref="B2703:N2703"/>
    <mergeCell ref="B2710:N2710"/>
    <mergeCell ref="B2717:N2717"/>
    <mergeCell ref="B2641:N2641"/>
    <mergeCell ref="B2643:N2643"/>
    <mergeCell ref="B2651:N2651"/>
    <mergeCell ref="B2659:N2659"/>
    <mergeCell ref="B2790:N2790"/>
    <mergeCell ref="B2792:N2792"/>
    <mergeCell ref="B2769:N2769"/>
    <mergeCell ref="B2782:N2782"/>
    <mergeCell ref="B2724:N2724"/>
    <mergeCell ref="B2689:N2689"/>
    <mergeCell ref="B2696:N2696"/>
    <mergeCell ref="B2813:N2813"/>
    <mergeCell ref="B2774:N2774"/>
    <mergeCell ref="B2820:N2820"/>
    <mergeCell ref="B2827:N2827"/>
    <mergeCell ref="B2834:N2834"/>
    <mergeCell ref="B2818:N2818"/>
    <mergeCell ref="B2682:N2682"/>
    <mergeCell ref="B2805:N2805"/>
    <mergeCell ref="B1658:N1658"/>
    <mergeCell ref="B2080:N2080"/>
    <mergeCell ref="B1876:N1876"/>
    <mergeCell ref="B1908:N1908"/>
    <mergeCell ref="B1846:N1846"/>
    <mergeCell ref="B1663:N1663"/>
    <mergeCell ref="B1668:N1668"/>
    <mergeCell ref="B1673:N1673"/>
    <mergeCell ref="B2127:N2127"/>
    <mergeCell ref="B1754:N1754"/>
    <mergeCell ref="B1782:N1782"/>
    <mergeCell ref="B2105:N2105"/>
    <mergeCell ref="B2010:N2010"/>
    <mergeCell ref="B2011:N2011"/>
    <mergeCell ref="B2117:N2117"/>
    <mergeCell ref="B1844:N1844"/>
    <mergeCell ref="B1700:N1700"/>
    <mergeCell ref="B1985:N1985"/>
    <mergeCell ref="B1913:N1913"/>
    <mergeCell ref="B2090:N2090"/>
    <mergeCell ref="B2095:N2095"/>
    <mergeCell ref="B2100:N2100"/>
    <mergeCell ref="B2038:N2038"/>
    <mergeCell ref="B2050:N2050"/>
    <mergeCell ref="B2085:N2085"/>
    <mergeCell ref="B1990:N1990"/>
    <mergeCell ref="B2110:N2110"/>
    <mergeCell ref="B2112:N2112"/>
    <mergeCell ref="B2319:N2319"/>
    <mergeCell ref="B2506:N2506"/>
    <mergeCell ref="B2329:N2329"/>
    <mergeCell ref="B2501:N2501"/>
    <mergeCell ref="B2460:N2460"/>
    <mergeCell ref="B2480:N2480"/>
    <mergeCell ref="B2445:N2445"/>
    <mergeCell ref="B2339:N2339"/>
    <mergeCell ref="B2204:N2204"/>
    <mergeCell ref="B2219:N2219"/>
    <mergeCell ref="B2229:N2229"/>
    <mergeCell ref="B2368:N2368"/>
    <mergeCell ref="B2060:N2060"/>
    <mergeCell ref="B2065:N2065"/>
    <mergeCell ref="B2177:N2177"/>
    <mergeCell ref="B2182:N2182"/>
    <mergeCell ref="B2184:N2184"/>
    <mergeCell ref="B2189:N2189"/>
    <mergeCell ref="B2349:N2349"/>
    <mergeCell ref="B2137:N2137"/>
    <mergeCell ref="B1945:N1945"/>
    <mergeCell ref="B2639:N2639"/>
    <mergeCell ref="B2359:N2359"/>
    <mergeCell ref="B1736:N1736"/>
    <mergeCell ref="B2361:N2361"/>
    <mergeCell ref="B2366:N2366"/>
    <mergeCell ref="B2373:N2373"/>
    <mergeCell ref="B2378:N2378"/>
    <mergeCell ref="B2410:N2410"/>
    <mergeCell ref="B2415:N2415"/>
    <mergeCell ref="B2420:N2420"/>
    <mergeCell ref="B2425:N2425"/>
    <mergeCell ref="B2430:N2430"/>
    <mergeCell ref="B2588:N2588"/>
    <mergeCell ref="B2603:N2603"/>
    <mergeCell ref="B2393:N2393"/>
    <mergeCell ref="B2400:N2400"/>
    <mergeCell ref="B2465:N2465"/>
    <mergeCell ref="B2595:N2595"/>
    <mergeCell ref="B2388:N2388"/>
    <mergeCell ref="B2405:N2405"/>
    <mergeCell ref="B1980:N1980"/>
    <mergeCell ref="B2580:N2580"/>
    <mergeCell ref="B1556:N1556"/>
    <mergeCell ref="B1561:N1561"/>
    <mergeCell ref="B1586:N1586"/>
    <mergeCell ref="B1591:N1591"/>
    <mergeCell ref="B1598:N1598"/>
    <mergeCell ref="B2855:N2855"/>
    <mergeCell ref="B1683:N1683"/>
    <mergeCell ref="B1685:N1685"/>
    <mergeCell ref="B1744:N1744"/>
    <mergeCell ref="B1759:N1759"/>
    <mergeCell ref="B1820:N1820"/>
    <mergeCell ref="B2398:N2398"/>
    <mergeCell ref="B1708:N1708"/>
    <mergeCell ref="B1896:N1896"/>
    <mergeCell ref="B2316:N2316"/>
    <mergeCell ref="B2734:N2734"/>
    <mergeCell ref="B2741:N2741"/>
    <mergeCell ref="B2748:N2748"/>
    <mergeCell ref="B2755:N2755"/>
    <mergeCell ref="B2762:N2762"/>
    <mergeCell ref="B2122:N2122"/>
    <mergeCell ref="B1955:N1955"/>
    <mergeCell ref="B1933:N1933"/>
    <mergeCell ref="B1648:N1648"/>
    <mergeCell ref="B1653:N1653"/>
    <mergeCell ref="B1693:N1693"/>
    <mergeCell ref="B1406:N1406"/>
    <mergeCell ref="B1411:N1411"/>
    <mergeCell ref="B1421:N1421"/>
    <mergeCell ref="B1289:N1289"/>
    <mergeCell ref="B1294:N1294"/>
    <mergeCell ref="A1:N1"/>
    <mergeCell ref="B1083:N1083"/>
    <mergeCell ref="B963:N963"/>
    <mergeCell ref="B914:N914"/>
    <mergeCell ref="B998:N998"/>
    <mergeCell ref="B1032:N1032"/>
    <mergeCell ref="B946:N946"/>
    <mergeCell ref="B545:N545"/>
    <mergeCell ref="B804:N804"/>
    <mergeCell ref="B430:N430"/>
    <mergeCell ref="B382:N382"/>
    <mergeCell ref="B479:N479"/>
    <mergeCell ref="B14:N14"/>
    <mergeCell ref="B1062:N1062"/>
    <mergeCell ref="B16:N16"/>
    <mergeCell ref="B23:N23"/>
    <mergeCell ref="B203:N203"/>
    <mergeCell ref="B212:N212"/>
    <mergeCell ref="B219:N219"/>
    <mergeCell ref="B226:N226"/>
    <mergeCell ref="B233:N233"/>
    <mergeCell ref="B242:N242"/>
    <mergeCell ref="B250:N250"/>
    <mergeCell ref="B257:N257"/>
    <mergeCell ref="B264:N264"/>
    <mergeCell ref="B303:N303"/>
    <mergeCell ref="B468:N468"/>
    <mergeCell ref="B311:N311"/>
    <mergeCell ref="B313:N313"/>
    <mergeCell ref="B453:N453"/>
    <mergeCell ref="B360:N360"/>
    <mergeCell ref="B374:N374"/>
    <mergeCell ref="B451:N451"/>
    <mergeCell ref="B333:N333"/>
    <mergeCell ref="B466:N466"/>
    <mergeCell ref="B419:N419"/>
    <mergeCell ref="B417:N417"/>
    <mergeCell ref="B30:N30"/>
    <mergeCell ref="B35:N35"/>
    <mergeCell ref="B315:N315"/>
    <mergeCell ref="B325:N325"/>
    <mergeCell ref="B389:N389"/>
    <mergeCell ref="B396:N396"/>
    <mergeCell ref="B403:N403"/>
    <mergeCell ref="B410:N410"/>
    <mergeCell ref="B346:N346"/>
    <mergeCell ref="B335:N335"/>
    <mergeCell ref="B130:N130"/>
    <mergeCell ref="B140:N140"/>
    <mergeCell ref="B142:N142"/>
    <mergeCell ref="B150:N150"/>
    <mergeCell ref="B158:N158"/>
    <mergeCell ref="B160:N160"/>
    <mergeCell ref="B85:N85"/>
    <mergeCell ref="B92:N92"/>
    <mergeCell ref="B99:N99"/>
    <mergeCell ref="B271:N271"/>
    <mergeCell ref="B278:N278"/>
    <mergeCell ref="B280:N280"/>
    <mergeCell ref="B288:N288"/>
    <mergeCell ref="B296:N296"/>
    <mergeCell ref="B511:N511"/>
    <mergeCell ref="B540:N540"/>
    <mergeCell ref="B573:N573"/>
    <mergeCell ref="B555:N555"/>
    <mergeCell ref="B626:N626"/>
    <mergeCell ref="B594:N594"/>
    <mergeCell ref="B550:N550"/>
    <mergeCell ref="A9:B10"/>
    <mergeCell ref="C9:H10"/>
    <mergeCell ref="J9:N10"/>
    <mergeCell ref="A12:N12"/>
    <mergeCell ref="B40:N40"/>
    <mergeCell ref="B45:N45"/>
    <mergeCell ref="B52:N52"/>
    <mergeCell ref="B59:N59"/>
    <mergeCell ref="B66:N66"/>
    <mergeCell ref="B128:N128"/>
    <mergeCell ref="B80:N80"/>
    <mergeCell ref="B73:N73"/>
    <mergeCell ref="B106:N106"/>
    <mergeCell ref="B101:N101"/>
    <mergeCell ref="B111:N111"/>
    <mergeCell ref="B113:N113"/>
    <mergeCell ref="B123:N123"/>
    <mergeCell ref="A3:N3"/>
    <mergeCell ref="A5:B5"/>
    <mergeCell ref="C5:H5"/>
    <mergeCell ref="J5:L5"/>
    <mergeCell ref="M5:N5"/>
    <mergeCell ref="A6:B6"/>
    <mergeCell ref="J6:L7"/>
    <mergeCell ref="M6:N7"/>
    <mergeCell ref="C6:H7"/>
    <mergeCell ref="B1851:N1851"/>
    <mergeCell ref="B1950:N1950"/>
    <mergeCell ref="B766:N766"/>
    <mergeCell ref="B872:N872"/>
    <mergeCell ref="B806:N806"/>
    <mergeCell ref="B880:N880"/>
    <mergeCell ref="B889:N889"/>
    <mergeCell ref="B891:N891"/>
    <mergeCell ref="B907:N907"/>
    <mergeCell ref="B774:N774"/>
    <mergeCell ref="B865:N865"/>
    <mergeCell ref="B829:N829"/>
    <mergeCell ref="B1481:N1481"/>
    <mergeCell ref="B1491:N1491"/>
    <mergeCell ref="B1496:N1496"/>
    <mergeCell ref="B1501:N1501"/>
    <mergeCell ref="B1394:N1394"/>
    <mergeCell ref="B1104:N1104"/>
    <mergeCell ref="B996:N996"/>
    <mergeCell ref="B953:N953"/>
    <mergeCell ref="B1097:N1097"/>
    <mergeCell ref="B974:N974"/>
    <mergeCell ref="B1638:N1638"/>
    <mergeCell ref="B1643:N1643"/>
    <mergeCell ref="B681:N681"/>
    <mergeCell ref="B676:N676"/>
    <mergeCell ref="B789:N789"/>
    <mergeCell ref="B796:N796"/>
    <mergeCell ref="B688:N688"/>
    <mergeCell ref="B703:N703"/>
    <mergeCell ref="B1713:N1713"/>
    <mergeCell ref="B813:N813"/>
    <mergeCell ref="B981:N981"/>
    <mergeCell ref="B937:N937"/>
    <mergeCell ref="B988:N988"/>
    <mergeCell ref="B916:N916"/>
    <mergeCell ref="B1269:N1269"/>
    <mergeCell ref="B1244:N1244"/>
    <mergeCell ref="B1249:N1249"/>
    <mergeCell ref="B1254:N1254"/>
    <mergeCell ref="B1214:N1214"/>
    <mergeCell ref="B1099:N1099"/>
    <mergeCell ref="B1566:N1566"/>
    <mergeCell ref="B1571:N1571"/>
    <mergeCell ref="B1576:N1576"/>
    <mergeCell ref="B1581:N1581"/>
    <mergeCell ref="B1399:N1399"/>
    <mergeCell ref="B1124:N1124"/>
    <mergeCell ref="B1531:N1531"/>
    <mergeCell ref="B1486:N1486"/>
    <mergeCell ref="B1476:N1476"/>
    <mergeCell ref="B1506:N1506"/>
    <mergeCell ref="B1426:N1426"/>
    <mergeCell ref="B1431:N1431"/>
    <mergeCell ref="B1436:N1436"/>
    <mergeCell ref="B1441:N1441"/>
    <mergeCell ref="B1446:N1446"/>
    <mergeCell ref="B1451:N1451"/>
    <mergeCell ref="B1456:N1456"/>
    <mergeCell ref="B1461:N1461"/>
    <mergeCell ref="B1471:N1471"/>
    <mergeCell ref="B1521:N1521"/>
    <mergeCell ref="B1526:N1526"/>
    <mergeCell ref="B1466:N1466"/>
    <mergeCell ref="B1511:N1511"/>
    <mergeCell ref="B1516:N1516"/>
    <mergeCell ref="B1603:N1603"/>
    <mergeCell ref="B1608:N1608"/>
    <mergeCell ref="B1613:N1613"/>
    <mergeCell ref="B1596:N1596"/>
    <mergeCell ref="B1536:N1536"/>
    <mergeCell ref="B1541:N1541"/>
    <mergeCell ref="B1551:N1551"/>
    <mergeCell ref="B2573:N2573"/>
    <mergeCell ref="B2513:N2513"/>
    <mergeCell ref="B2354:N2354"/>
    <mergeCell ref="B2383:N2383"/>
    <mergeCell ref="B2261:N2261"/>
    <mergeCell ref="B2266:N2266"/>
    <mergeCell ref="B2271:N2271"/>
    <mergeCell ref="B2276:N2276"/>
    <mergeCell ref="B2281:N2281"/>
    <mergeCell ref="B2291:N2291"/>
    <mergeCell ref="B2296:N2296"/>
    <mergeCell ref="B2301:N2301"/>
    <mergeCell ref="B2306:N2306"/>
    <mergeCell ref="B2311:N2311"/>
    <mergeCell ref="B2485:N2485"/>
    <mergeCell ref="B2470:N2470"/>
    <mergeCell ref="B2487:N2487"/>
    <mergeCell ref="B2440:N2440"/>
    <mergeCell ref="B2848:N2848"/>
    <mergeCell ref="B2860:N2860"/>
    <mergeCell ref="B2199:N2199"/>
    <mergeCell ref="B2209:N2209"/>
    <mergeCell ref="B2214:N2214"/>
    <mergeCell ref="B2224:N2224"/>
    <mergeCell ref="B2239:N2239"/>
    <mergeCell ref="B2234:N2234"/>
    <mergeCell ref="B2492:N2492"/>
    <mergeCell ref="B2241:N2241"/>
    <mergeCell ref="B2853:N2853"/>
    <mergeCell ref="B2525:N2525"/>
    <mergeCell ref="B2523:N2523"/>
    <mergeCell ref="B2518:N2518"/>
    <mergeCell ref="B2475:N2475"/>
    <mergeCell ref="B2455:N2455"/>
    <mergeCell ref="B2435:N2435"/>
    <mergeCell ref="B2450:N2450"/>
    <mergeCell ref="B2508:N2508"/>
    <mergeCell ref="B2494:N2494"/>
    <mergeCell ref="B2286:N2286"/>
    <mergeCell ref="B2246:N2246"/>
    <mergeCell ref="B2251:N2251"/>
  </mergeCells>
  <printOptions horizontalCentered="1"/>
  <pageMargins left="0.23622047244094491" right="0.23622047244094491" top="0.74803149606299213" bottom="0.74803149606299213" header="0.31496062992125984" footer="0.31496062992125984"/>
  <pageSetup paperSize="9" scale="53" fitToWidth="0" fitToHeight="0" orientation="portrait" r:id="rId1"/>
  <rowBreaks count="27" manualBreakCount="27">
    <brk id="166" max="13" man="1"/>
    <brk id="241" max="13" man="1"/>
    <brk id="310" max="13" man="1"/>
    <brk id="388" max="13" man="1"/>
    <brk id="465" max="13" man="1"/>
    <brk id="539" max="13" man="1"/>
    <brk id="695" max="13" man="1"/>
    <brk id="773" max="13" man="1"/>
    <brk id="842" max="13" man="1"/>
    <brk id="913" max="13" man="1"/>
    <brk id="987" max="13" man="1"/>
    <brk id="1061" max="13" man="1"/>
    <brk id="1218" max="13" man="1"/>
    <brk id="1455" max="13" man="1"/>
    <brk id="1607" max="13" man="1"/>
    <brk id="1682" max="13" man="1"/>
    <brk id="1758" max="13" man="1"/>
    <brk id="1829" max="13" man="1"/>
    <brk id="1902" max="13" man="1"/>
    <brk id="1974" max="13" man="1"/>
    <brk id="2049" max="13" man="1"/>
    <brk id="2126" max="13" man="1"/>
    <brk id="2203" max="13" man="1"/>
    <brk id="2358" max="13" man="1"/>
    <brk id="2434" max="13" man="1"/>
    <brk id="2505" max="13" man="1"/>
    <brk id="2747" max="13" man="1"/>
  </rowBreaks>
  <ignoredErrors>
    <ignoredError sqref="G506 C849"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22"/>
  <sheetViews>
    <sheetView tabSelected="1" view="pageBreakPreview" topLeftCell="A46" zoomScaleNormal="100" zoomScaleSheetLayoutView="100" workbookViewId="0">
      <selection activeCell="P14" sqref="P14"/>
    </sheetView>
  </sheetViews>
  <sheetFormatPr defaultColWidth="12.625" defaultRowHeight="15" customHeight="1"/>
  <cols>
    <col min="1" max="1" width="17.125" style="128" customWidth="1"/>
    <col min="2" max="2" width="47.25" style="128" customWidth="1"/>
    <col min="3" max="3" width="20" style="128" customWidth="1"/>
    <col min="4" max="6" width="15.75" style="128" customWidth="1"/>
    <col min="7" max="7" width="15.5" style="128" bestFit="1" customWidth="1"/>
    <col min="8" max="8" width="15.375" style="128" customWidth="1"/>
    <col min="9" max="9" width="15.125" style="128" customWidth="1"/>
    <col min="10" max="30" width="12" style="128" customWidth="1"/>
    <col min="31" max="33" width="9" style="128" customWidth="1"/>
    <col min="34" max="16384" width="12.625" style="128"/>
  </cols>
  <sheetData>
    <row r="1" spans="1:44" s="119" customFormat="1" ht="100.5" customHeight="1">
      <c r="A1" s="503"/>
      <c r="B1" s="503"/>
      <c r="C1" s="503"/>
      <c r="D1" s="503"/>
      <c r="E1" s="503"/>
      <c r="F1" s="503"/>
      <c r="G1" s="503"/>
      <c r="H1" s="503"/>
      <c r="I1" s="503"/>
      <c r="J1" s="128"/>
      <c r="K1" s="128"/>
      <c r="L1" s="128"/>
      <c r="M1" s="128"/>
      <c r="N1" s="128"/>
      <c r="O1" s="128"/>
      <c r="P1" s="128"/>
      <c r="Q1" s="128"/>
      <c r="R1" s="128"/>
      <c r="S1" s="128"/>
      <c r="T1" s="128"/>
      <c r="U1" s="128"/>
      <c r="V1" s="128"/>
      <c r="W1" s="128"/>
      <c r="X1" s="128"/>
      <c r="Y1" s="128"/>
      <c r="Z1" s="118"/>
      <c r="AA1" s="118"/>
      <c r="AB1" s="118"/>
      <c r="AC1" s="118"/>
      <c r="AD1" s="118"/>
      <c r="AE1" s="118"/>
      <c r="AF1" s="118"/>
      <c r="AG1" s="118"/>
      <c r="AH1" s="118"/>
      <c r="AI1" s="118"/>
    </row>
    <row r="2" spans="1:44" s="119" customFormat="1" ht="6" customHeight="1">
      <c r="A2" s="182"/>
      <c r="B2" s="121"/>
      <c r="C2" s="121"/>
      <c r="D2" s="183"/>
      <c r="E2" s="183"/>
      <c r="F2" s="183"/>
      <c r="G2" s="123"/>
      <c r="H2" s="124"/>
      <c r="I2" s="128"/>
      <c r="K2" s="184"/>
      <c r="L2" s="184"/>
      <c r="M2" s="184"/>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row>
    <row r="3" spans="1:44" s="119" customFormat="1" ht="20.25" customHeight="1">
      <c r="A3" s="598" t="str">
        <f>'ORÇAMENTO SINTÉTICO (NÃO DESON)'!$A$3:$J$3</f>
        <v>PREFEITURA MUNICIPAL DE CABO FRIO</v>
      </c>
      <c r="B3" s="598"/>
      <c r="C3" s="598"/>
      <c r="D3" s="598"/>
      <c r="E3" s="598"/>
      <c r="F3" s="598"/>
      <c r="G3" s="598"/>
      <c r="H3" s="598"/>
      <c r="I3" s="598"/>
      <c r="J3" s="128"/>
      <c r="K3" s="226"/>
      <c r="L3" s="226"/>
      <c r="M3" s="226"/>
      <c r="N3" s="226"/>
      <c r="O3" s="226"/>
      <c r="P3" s="226"/>
      <c r="Q3" s="226"/>
      <c r="R3" s="226"/>
      <c r="S3" s="226"/>
      <c r="T3" s="226"/>
      <c r="U3" s="226"/>
      <c r="V3" s="226"/>
      <c r="W3" s="226"/>
      <c r="X3" s="226"/>
      <c r="Y3" s="226"/>
    </row>
    <row r="4" spans="1:44" s="119" customFormat="1" ht="6" customHeight="1">
      <c r="A4" s="182"/>
      <c r="B4" s="121"/>
      <c r="C4" s="121"/>
      <c r="D4" s="183"/>
      <c r="E4" s="183"/>
      <c r="F4" s="183"/>
      <c r="G4" s="123"/>
      <c r="H4" s="124"/>
      <c r="I4" s="128"/>
      <c r="J4" s="128"/>
      <c r="M4" s="184"/>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row>
    <row r="5" spans="1:44" s="119" customFormat="1" ht="18">
      <c r="A5" s="227" t="s">
        <v>913</v>
      </c>
      <c r="B5" s="486" t="str">
        <f>'ORÇAMENTO SINTÉTICO (NÃO DESON)'!$C$5</f>
        <v>CONSTRUÇÃO DA CRECHE ESCOLA TAMOIOS</v>
      </c>
      <c r="C5" s="504"/>
      <c r="D5" s="504"/>
      <c r="E5" s="228"/>
      <c r="G5" s="495" t="s">
        <v>40</v>
      </c>
      <c r="H5" s="495"/>
      <c r="I5" s="131">
        <f>'CÁLCULO BDI (NÃO DESON)'!$B$14</f>
        <v>0.25</v>
      </c>
      <c r="J5" s="128"/>
      <c r="M5" s="130"/>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row>
    <row r="6" spans="1:44" s="119" customFormat="1" ht="18" customHeight="1">
      <c r="A6" s="227" t="s">
        <v>914</v>
      </c>
      <c r="B6" s="493" t="str">
        <f>'ORÇAMENTO SINTÉTICO (NÃO DESON)'!$C$6</f>
        <v>AV. INDEPENDÊNCIA, S/N, CONDOMÍNIO VERÃO VERMELHO, TAMOIOS</v>
      </c>
      <c r="C6" s="493"/>
      <c r="D6" s="493"/>
      <c r="E6" s="493"/>
      <c r="G6" s="487" t="s">
        <v>455</v>
      </c>
      <c r="H6" s="487"/>
      <c r="I6" s="488">
        <f>BDI!$B$13</f>
        <v>0.16800000000000001</v>
      </c>
      <c r="J6" s="128"/>
      <c r="M6" s="184"/>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row>
    <row r="7" spans="1:44" s="119" customFormat="1" ht="18">
      <c r="A7" s="182"/>
      <c r="B7" s="121"/>
      <c r="C7" s="121"/>
      <c r="D7" s="183"/>
      <c r="E7" s="183"/>
      <c r="G7" s="487"/>
      <c r="H7" s="487"/>
      <c r="I7" s="488"/>
      <c r="J7" s="128"/>
      <c r="M7" s="184"/>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row>
    <row r="8" spans="1:44" s="119" customFormat="1" ht="6" customHeight="1">
      <c r="A8" s="182"/>
      <c r="B8" s="121"/>
      <c r="C8" s="121"/>
      <c r="D8" s="183"/>
      <c r="E8" s="183"/>
      <c r="F8" s="183"/>
      <c r="H8" s="123"/>
      <c r="I8" s="128"/>
      <c r="J8" s="128"/>
      <c r="M8" s="184"/>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row>
    <row r="9" spans="1:44" s="119" customFormat="1" ht="40.5" customHeight="1">
      <c r="A9" s="573" t="s">
        <v>490</v>
      </c>
      <c r="B9" s="505" t="str">
        <f>'ORÇAMENTO SINTÉTICO (NÃO DESON)'!$C$9</f>
        <v>SINAPI - SETEMBRO/2023, EMOP - AGOSTO/2023</v>
      </c>
      <c r="C9" s="505"/>
      <c r="D9" s="505"/>
      <c r="G9" s="600" t="str">
        <f>'ORÇAMENTO SINTÉTICO (NÃO DESON)'!$G$9</f>
        <v>Encargos Sociais Não Desonerado: embutido nos preços unitário dos insumos de mão de obra, de acordo com as bases.</v>
      </c>
      <c r="H9" s="600"/>
      <c r="I9" s="600"/>
      <c r="J9" s="128"/>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row>
    <row r="10" spans="1:44" s="119" customFormat="1" ht="15" customHeight="1">
      <c r="A10" s="573"/>
      <c r="B10" s="505"/>
      <c r="C10" s="505"/>
      <c r="D10" s="505"/>
      <c r="G10" s="600"/>
      <c r="H10" s="600"/>
      <c r="I10" s="600"/>
    </row>
    <row r="11" spans="1:44" ht="10.5" customHeight="1">
      <c r="A11" s="133"/>
      <c r="C11" s="134"/>
      <c r="D11" s="135"/>
      <c r="E11" s="135"/>
      <c r="F11" s="135"/>
      <c r="G11" s="129"/>
      <c r="H11" s="136"/>
      <c r="I11" s="137"/>
      <c r="J11" s="174"/>
      <c r="N11" s="138"/>
      <c r="O11" s="138"/>
      <c r="P11" s="138"/>
      <c r="Q11" s="138"/>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row>
    <row r="12" spans="1:44" s="119" customFormat="1" ht="20.25" customHeight="1">
      <c r="A12" s="598" t="s">
        <v>456</v>
      </c>
      <c r="B12" s="598"/>
      <c r="C12" s="598"/>
      <c r="D12" s="598"/>
      <c r="E12" s="598"/>
      <c r="F12" s="598"/>
      <c r="G12" s="598"/>
      <c r="H12" s="598"/>
      <c r="I12" s="598"/>
      <c r="N12" s="226"/>
      <c r="O12" s="226"/>
      <c r="P12" s="226"/>
      <c r="Q12" s="226"/>
      <c r="R12" s="226"/>
      <c r="S12" s="226"/>
      <c r="T12" s="226"/>
      <c r="U12" s="226"/>
      <c r="V12" s="226"/>
      <c r="W12" s="226"/>
      <c r="X12" s="226"/>
      <c r="Y12" s="226"/>
    </row>
    <row r="13" spans="1:44" ht="4.9000000000000004" customHeight="1">
      <c r="A13" s="133"/>
      <c r="B13" s="133"/>
      <c r="C13" s="134"/>
      <c r="D13" s="135"/>
      <c r="E13" s="135"/>
      <c r="F13" s="135"/>
      <c r="G13" s="129"/>
      <c r="H13" s="136"/>
      <c r="I13" s="599"/>
      <c r="J13" s="599"/>
      <c r="K13" s="599"/>
      <c r="L13" s="174"/>
      <c r="M13" s="174"/>
      <c r="N13" s="174"/>
      <c r="O13" s="174"/>
      <c r="P13" s="174"/>
      <c r="Q13" s="174"/>
      <c r="R13" s="174"/>
      <c r="S13" s="174"/>
      <c r="T13" s="174"/>
      <c r="U13" s="174"/>
      <c r="V13" s="174"/>
      <c r="W13" s="174"/>
      <c r="X13" s="174"/>
      <c r="Y13" s="174"/>
      <c r="Z13" s="174"/>
      <c r="AA13" s="174"/>
      <c r="AB13" s="174"/>
      <c r="AC13" s="174"/>
      <c r="AD13" s="174"/>
      <c r="AE13" s="174"/>
      <c r="AF13" s="174"/>
      <c r="AG13" s="174"/>
    </row>
    <row r="14" spans="1:44" ht="14.25">
      <c r="A14" s="238" t="s">
        <v>1121</v>
      </c>
      <c r="B14" s="238" t="s">
        <v>1122</v>
      </c>
      <c r="C14" s="238" t="s">
        <v>1123</v>
      </c>
      <c r="D14" s="238" t="s">
        <v>1124</v>
      </c>
      <c r="E14" s="238" t="s">
        <v>1125</v>
      </c>
      <c r="F14" s="238" t="s">
        <v>1126</v>
      </c>
      <c r="G14" s="238" t="s">
        <v>1127</v>
      </c>
      <c r="H14" s="239" t="s">
        <v>1128</v>
      </c>
      <c r="I14" s="238" t="s">
        <v>1114</v>
      </c>
    </row>
    <row r="15" spans="1:44" s="395" customFormat="1" ht="12" customHeight="1">
      <c r="A15" s="594" t="s">
        <v>1113</v>
      </c>
      <c r="B15" s="594" t="s">
        <v>921</v>
      </c>
      <c r="C15" s="595">
        <v>483034.26</v>
      </c>
      <c r="D15" s="440">
        <v>1</v>
      </c>
      <c r="E15" s="432"/>
      <c r="F15" s="432"/>
      <c r="G15" s="432"/>
      <c r="H15" s="433"/>
      <c r="I15" s="441">
        <v>1</v>
      </c>
    </row>
    <row r="16" spans="1:44" s="395" customFormat="1" ht="12.95" customHeight="1">
      <c r="A16" s="594"/>
      <c r="B16" s="594"/>
      <c r="C16" s="595"/>
      <c r="D16" s="442">
        <v>483034.26</v>
      </c>
      <c r="E16" s="434"/>
      <c r="F16" s="434"/>
      <c r="G16" s="434"/>
      <c r="H16" s="435"/>
      <c r="I16" s="443">
        <v>483034.26</v>
      </c>
    </row>
    <row r="17" spans="1:9" s="395" customFormat="1" ht="12" customHeight="1">
      <c r="A17" s="594" t="s">
        <v>1427</v>
      </c>
      <c r="B17" s="594" t="s">
        <v>45</v>
      </c>
      <c r="C17" s="595">
        <v>1289.7</v>
      </c>
      <c r="D17" s="440">
        <v>1</v>
      </c>
      <c r="E17" s="432"/>
      <c r="F17" s="432"/>
      <c r="G17" s="432"/>
      <c r="H17" s="433"/>
      <c r="I17" s="441">
        <v>1</v>
      </c>
    </row>
    <row r="18" spans="1:9" s="395" customFormat="1" ht="12.95" customHeight="1">
      <c r="A18" s="594"/>
      <c r="B18" s="594"/>
      <c r="C18" s="595"/>
      <c r="D18" s="442">
        <v>1289.7</v>
      </c>
      <c r="E18" s="434"/>
      <c r="F18" s="434"/>
      <c r="G18" s="434"/>
      <c r="H18" s="435"/>
      <c r="I18" s="443">
        <v>1289.7</v>
      </c>
    </row>
    <row r="19" spans="1:9" s="395" customFormat="1" ht="12" customHeight="1">
      <c r="A19" s="594" t="s">
        <v>1436</v>
      </c>
      <c r="B19" s="594" t="s">
        <v>1437</v>
      </c>
      <c r="C19" s="595">
        <v>286582.98</v>
      </c>
      <c r="D19" s="440">
        <v>0.8</v>
      </c>
      <c r="E19" s="440">
        <v>0.2</v>
      </c>
      <c r="F19" s="432"/>
      <c r="G19" s="432"/>
      <c r="H19" s="433"/>
      <c r="I19" s="441">
        <v>1</v>
      </c>
    </row>
    <row r="20" spans="1:9" s="395" customFormat="1" ht="12.95" customHeight="1">
      <c r="A20" s="594"/>
      <c r="B20" s="594"/>
      <c r="C20" s="595"/>
      <c r="D20" s="442">
        <v>229266.38</v>
      </c>
      <c r="E20" s="442">
        <v>57316.6</v>
      </c>
      <c r="F20" s="434"/>
      <c r="G20" s="434"/>
      <c r="H20" s="435"/>
      <c r="I20" s="443">
        <v>286582.98</v>
      </c>
    </row>
    <row r="21" spans="1:9" s="395" customFormat="1" ht="12" customHeight="1">
      <c r="A21" s="594" t="s">
        <v>1471</v>
      </c>
      <c r="B21" s="594" t="s">
        <v>922</v>
      </c>
      <c r="C21" s="595">
        <v>3160.36</v>
      </c>
      <c r="D21" s="440">
        <v>0.8</v>
      </c>
      <c r="E21" s="440">
        <v>0.2</v>
      </c>
      <c r="F21" s="432"/>
      <c r="G21" s="432"/>
      <c r="H21" s="433"/>
      <c r="I21" s="441">
        <v>1</v>
      </c>
    </row>
    <row r="22" spans="1:9" s="395" customFormat="1" ht="12.95" customHeight="1">
      <c r="A22" s="594"/>
      <c r="B22" s="594"/>
      <c r="C22" s="595"/>
      <c r="D22" s="442">
        <v>2528.29</v>
      </c>
      <c r="E22" s="442">
        <v>632.07000000000005</v>
      </c>
      <c r="F22" s="434"/>
      <c r="G22" s="434"/>
      <c r="H22" s="435"/>
      <c r="I22" s="443">
        <v>3160.36</v>
      </c>
    </row>
    <row r="23" spans="1:9" s="395" customFormat="1" ht="12" customHeight="1">
      <c r="A23" s="594" t="s">
        <v>1476</v>
      </c>
      <c r="B23" s="594" t="s">
        <v>351</v>
      </c>
      <c r="C23" s="595">
        <v>1130783.1100000001</v>
      </c>
      <c r="D23" s="432"/>
      <c r="E23" s="440">
        <v>0.7</v>
      </c>
      <c r="F23" s="440">
        <v>0.3</v>
      </c>
      <c r="G23" s="432"/>
      <c r="H23" s="433"/>
      <c r="I23" s="441">
        <v>1</v>
      </c>
    </row>
    <row r="24" spans="1:9" s="395" customFormat="1" ht="12.95" customHeight="1">
      <c r="A24" s="594"/>
      <c r="B24" s="594"/>
      <c r="C24" s="595"/>
      <c r="D24" s="434"/>
      <c r="E24" s="442">
        <v>791548.18</v>
      </c>
      <c r="F24" s="442">
        <v>339234.93</v>
      </c>
      <c r="G24" s="434"/>
      <c r="H24" s="435"/>
      <c r="I24" s="443">
        <v>1130783.1100000001</v>
      </c>
    </row>
    <row r="25" spans="1:9" s="395" customFormat="1" ht="12" customHeight="1">
      <c r="A25" s="594" t="s">
        <v>1496</v>
      </c>
      <c r="B25" s="594" t="s">
        <v>47</v>
      </c>
      <c r="C25" s="595">
        <v>51024.69</v>
      </c>
      <c r="D25" s="432"/>
      <c r="E25" s="432"/>
      <c r="F25" s="440">
        <v>0.5</v>
      </c>
      <c r="G25" s="440">
        <v>0.5</v>
      </c>
      <c r="H25" s="433"/>
      <c r="I25" s="441">
        <v>1</v>
      </c>
    </row>
    <row r="26" spans="1:9" s="395" customFormat="1" ht="12.95" customHeight="1">
      <c r="A26" s="594"/>
      <c r="B26" s="594"/>
      <c r="C26" s="595"/>
      <c r="D26" s="434"/>
      <c r="E26" s="434"/>
      <c r="F26" s="442">
        <v>25512.35</v>
      </c>
      <c r="G26" s="442">
        <v>25512.34</v>
      </c>
      <c r="H26" s="435"/>
      <c r="I26" s="443">
        <v>51024.69</v>
      </c>
    </row>
    <row r="27" spans="1:9" s="395" customFormat="1" ht="12" customHeight="1">
      <c r="A27" s="594" t="s">
        <v>1503</v>
      </c>
      <c r="B27" s="594" t="s">
        <v>48</v>
      </c>
      <c r="C27" s="595">
        <v>7343.22</v>
      </c>
      <c r="D27" s="432"/>
      <c r="E27" s="432"/>
      <c r="F27" s="432"/>
      <c r="G27" s="432"/>
      <c r="H27" s="445">
        <v>1</v>
      </c>
      <c r="I27" s="441">
        <v>1</v>
      </c>
    </row>
    <row r="28" spans="1:9" s="395" customFormat="1" ht="12.95" customHeight="1">
      <c r="A28" s="594"/>
      <c r="B28" s="594"/>
      <c r="C28" s="595"/>
      <c r="D28" s="434"/>
      <c r="E28" s="434"/>
      <c r="F28" s="434"/>
      <c r="G28" s="434"/>
      <c r="H28" s="446">
        <v>7343.22</v>
      </c>
      <c r="I28" s="443">
        <v>7343.22</v>
      </c>
    </row>
    <row r="29" spans="1:9" s="395" customFormat="1" ht="12" customHeight="1">
      <c r="A29" s="594" t="s">
        <v>1517</v>
      </c>
      <c r="B29" s="594" t="s">
        <v>1518</v>
      </c>
      <c r="C29" s="595">
        <v>1884184.44</v>
      </c>
      <c r="D29" s="432"/>
      <c r="E29" s="432"/>
      <c r="F29" s="440">
        <v>0.4</v>
      </c>
      <c r="G29" s="440">
        <v>0.6</v>
      </c>
      <c r="H29" s="433"/>
      <c r="I29" s="441">
        <v>1</v>
      </c>
    </row>
    <row r="30" spans="1:9" s="395" customFormat="1" ht="12.95" customHeight="1">
      <c r="A30" s="594"/>
      <c r="B30" s="594"/>
      <c r="C30" s="595"/>
      <c r="D30" s="434"/>
      <c r="E30" s="434"/>
      <c r="F30" s="442">
        <v>753673.78</v>
      </c>
      <c r="G30" s="442">
        <v>1130510.6599999999</v>
      </c>
      <c r="H30" s="435"/>
      <c r="I30" s="443">
        <v>1884184.44</v>
      </c>
    </row>
    <row r="31" spans="1:9" s="395" customFormat="1" ht="12" customHeight="1">
      <c r="A31" s="594" t="s">
        <v>1532</v>
      </c>
      <c r="B31" s="594" t="s">
        <v>54</v>
      </c>
      <c r="C31" s="595">
        <v>362764.17</v>
      </c>
      <c r="D31" s="432"/>
      <c r="E31" s="432"/>
      <c r="F31" s="432"/>
      <c r="G31" s="440">
        <v>0.4</v>
      </c>
      <c r="H31" s="445">
        <v>0.6</v>
      </c>
      <c r="I31" s="441">
        <v>1</v>
      </c>
    </row>
    <row r="32" spans="1:9" s="395" customFormat="1" ht="12.95" customHeight="1">
      <c r="A32" s="594"/>
      <c r="B32" s="594"/>
      <c r="C32" s="595"/>
      <c r="D32" s="434"/>
      <c r="E32" s="434"/>
      <c r="F32" s="434"/>
      <c r="G32" s="442">
        <v>145105.67000000001</v>
      </c>
      <c r="H32" s="446">
        <v>217658.5</v>
      </c>
      <c r="I32" s="443">
        <v>362764.17</v>
      </c>
    </row>
    <row r="33" spans="1:9" s="395" customFormat="1" ht="12" customHeight="1">
      <c r="A33" s="594" t="s">
        <v>1565</v>
      </c>
      <c r="B33" s="594" t="s">
        <v>1566</v>
      </c>
      <c r="C33" s="595">
        <v>362852.66</v>
      </c>
      <c r="D33" s="432"/>
      <c r="E33" s="432"/>
      <c r="F33" s="432"/>
      <c r="G33" s="440">
        <v>0.2</v>
      </c>
      <c r="H33" s="445">
        <v>0.8</v>
      </c>
      <c r="I33" s="441">
        <v>1</v>
      </c>
    </row>
    <row r="34" spans="1:9" s="395" customFormat="1" ht="12.95" customHeight="1">
      <c r="A34" s="594"/>
      <c r="B34" s="594"/>
      <c r="C34" s="595"/>
      <c r="D34" s="434"/>
      <c r="E34" s="434"/>
      <c r="F34" s="434"/>
      <c r="G34" s="442">
        <v>72570.53</v>
      </c>
      <c r="H34" s="446">
        <v>290282.13</v>
      </c>
      <c r="I34" s="443">
        <v>362852.66</v>
      </c>
    </row>
    <row r="35" spans="1:9" s="395" customFormat="1" ht="12" customHeight="1">
      <c r="A35" s="594" t="s">
        <v>1598</v>
      </c>
      <c r="B35" s="594" t="s">
        <v>57</v>
      </c>
      <c r="C35" s="595">
        <v>104566.99</v>
      </c>
      <c r="D35" s="432"/>
      <c r="E35" s="432"/>
      <c r="F35" s="432"/>
      <c r="G35" s="440">
        <v>0.8</v>
      </c>
      <c r="H35" s="445">
        <v>0.2</v>
      </c>
      <c r="I35" s="441">
        <v>1</v>
      </c>
    </row>
    <row r="36" spans="1:9" s="395" customFormat="1" ht="12.95" customHeight="1">
      <c r="A36" s="594"/>
      <c r="B36" s="594"/>
      <c r="C36" s="595"/>
      <c r="D36" s="434"/>
      <c r="E36" s="434"/>
      <c r="F36" s="434"/>
      <c r="G36" s="442">
        <v>83653.59</v>
      </c>
      <c r="H36" s="446">
        <v>20913.400000000001</v>
      </c>
      <c r="I36" s="443">
        <v>104566.99</v>
      </c>
    </row>
    <row r="37" spans="1:9" s="395" customFormat="1" ht="12" customHeight="1">
      <c r="A37" s="594" t="s">
        <v>1611</v>
      </c>
      <c r="B37" s="594" t="s">
        <v>58</v>
      </c>
      <c r="C37" s="595">
        <v>111850.49</v>
      </c>
      <c r="D37" s="440">
        <v>0.3</v>
      </c>
      <c r="E37" s="432"/>
      <c r="F37" s="440">
        <v>0.4</v>
      </c>
      <c r="G37" s="440">
        <v>0.3</v>
      </c>
      <c r="H37" s="433"/>
      <c r="I37" s="441">
        <v>1</v>
      </c>
    </row>
    <row r="38" spans="1:9" s="395" customFormat="1" ht="12.95" customHeight="1">
      <c r="A38" s="594"/>
      <c r="B38" s="594"/>
      <c r="C38" s="595"/>
      <c r="D38" s="442">
        <v>33555.15</v>
      </c>
      <c r="E38" s="434"/>
      <c r="F38" s="442">
        <v>44740.2</v>
      </c>
      <c r="G38" s="442">
        <v>33555.14</v>
      </c>
      <c r="H38" s="435"/>
      <c r="I38" s="443">
        <v>111850.49</v>
      </c>
    </row>
    <row r="39" spans="1:9" s="395" customFormat="1" ht="12" customHeight="1">
      <c r="A39" s="594" t="s">
        <v>1718</v>
      </c>
      <c r="B39" s="594" t="s">
        <v>59</v>
      </c>
      <c r="C39" s="595">
        <v>108452.42</v>
      </c>
      <c r="D39" s="440">
        <v>0.5</v>
      </c>
      <c r="E39" s="432"/>
      <c r="F39" s="432"/>
      <c r="G39" s="440">
        <v>0.5</v>
      </c>
      <c r="H39" s="433"/>
      <c r="I39" s="441">
        <v>1</v>
      </c>
    </row>
    <row r="40" spans="1:9" s="395" customFormat="1" ht="12.95" customHeight="1">
      <c r="A40" s="594"/>
      <c r="B40" s="594"/>
      <c r="C40" s="595"/>
      <c r="D40" s="442">
        <v>54226.21</v>
      </c>
      <c r="E40" s="434"/>
      <c r="F40" s="434"/>
      <c r="G40" s="442">
        <v>54226.21</v>
      </c>
      <c r="H40" s="435"/>
      <c r="I40" s="443">
        <v>108452.42</v>
      </c>
    </row>
    <row r="41" spans="1:9" s="395" customFormat="1" ht="12" customHeight="1">
      <c r="A41" s="594" t="s">
        <v>1788</v>
      </c>
      <c r="B41" s="594" t="s">
        <v>60</v>
      </c>
      <c r="C41" s="595">
        <v>22154.28</v>
      </c>
      <c r="D41" s="440">
        <v>0.5</v>
      </c>
      <c r="E41" s="432"/>
      <c r="F41" s="432"/>
      <c r="G41" s="440">
        <v>0.5</v>
      </c>
      <c r="H41" s="433"/>
      <c r="I41" s="441">
        <v>1</v>
      </c>
    </row>
    <row r="42" spans="1:9" s="395" customFormat="1" ht="12.95" customHeight="1">
      <c r="A42" s="594"/>
      <c r="B42" s="594"/>
      <c r="C42" s="595"/>
      <c r="D42" s="442">
        <v>11077.14</v>
      </c>
      <c r="E42" s="434"/>
      <c r="F42" s="434"/>
      <c r="G42" s="442">
        <v>11077.14</v>
      </c>
      <c r="H42" s="435"/>
      <c r="I42" s="443">
        <v>22154.28</v>
      </c>
    </row>
    <row r="43" spans="1:9" s="395" customFormat="1" ht="12" customHeight="1">
      <c r="A43" s="594" t="s">
        <v>1798</v>
      </c>
      <c r="B43" s="594" t="s">
        <v>61</v>
      </c>
      <c r="C43" s="595">
        <v>54110.59</v>
      </c>
      <c r="D43" s="432"/>
      <c r="E43" s="432"/>
      <c r="F43" s="432"/>
      <c r="G43" s="440">
        <v>0.4</v>
      </c>
      <c r="H43" s="445">
        <v>0.6</v>
      </c>
      <c r="I43" s="441">
        <v>1</v>
      </c>
    </row>
    <row r="44" spans="1:9" s="395" customFormat="1" ht="12.95" customHeight="1">
      <c r="A44" s="594"/>
      <c r="B44" s="594"/>
      <c r="C44" s="595"/>
      <c r="D44" s="434"/>
      <c r="E44" s="434"/>
      <c r="F44" s="434"/>
      <c r="G44" s="442">
        <v>21644.240000000002</v>
      </c>
      <c r="H44" s="446">
        <v>32466.35</v>
      </c>
      <c r="I44" s="443">
        <v>54110.59</v>
      </c>
    </row>
    <row r="45" spans="1:9" s="395" customFormat="1" ht="12" customHeight="1">
      <c r="A45" s="594" t="s">
        <v>1837</v>
      </c>
      <c r="B45" s="594" t="s">
        <v>62</v>
      </c>
      <c r="C45" s="595">
        <v>9558.98</v>
      </c>
      <c r="D45" s="432"/>
      <c r="E45" s="432"/>
      <c r="F45" s="440">
        <v>0.5</v>
      </c>
      <c r="G45" s="440">
        <v>0.5</v>
      </c>
      <c r="H45" s="433"/>
      <c r="I45" s="441">
        <v>1</v>
      </c>
    </row>
    <row r="46" spans="1:9" s="395" customFormat="1" ht="12.95" customHeight="1">
      <c r="A46" s="594"/>
      <c r="B46" s="594"/>
      <c r="C46" s="595"/>
      <c r="D46" s="434"/>
      <c r="E46" s="434"/>
      <c r="F46" s="442">
        <v>4779.49</v>
      </c>
      <c r="G46" s="442">
        <v>4779.49</v>
      </c>
      <c r="H46" s="435"/>
      <c r="I46" s="443">
        <v>9558.98</v>
      </c>
    </row>
    <row r="47" spans="1:9" s="395" customFormat="1" ht="12" customHeight="1">
      <c r="A47" s="594" t="s">
        <v>1856</v>
      </c>
      <c r="B47" s="594" t="s">
        <v>63</v>
      </c>
      <c r="C47" s="595">
        <v>42510.2</v>
      </c>
      <c r="D47" s="440">
        <v>0.4</v>
      </c>
      <c r="E47" s="432"/>
      <c r="F47" s="432"/>
      <c r="G47" s="440">
        <v>0.6</v>
      </c>
      <c r="H47" s="433"/>
      <c r="I47" s="441">
        <v>1</v>
      </c>
    </row>
    <row r="48" spans="1:9" s="395" customFormat="1" ht="12.95" customHeight="1">
      <c r="A48" s="594"/>
      <c r="B48" s="594"/>
      <c r="C48" s="595"/>
      <c r="D48" s="442">
        <v>17004.080000000002</v>
      </c>
      <c r="E48" s="434"/>
      <c r="F48" s="434"/>
      <c r="G48" s="442">
        <v>25506.12</v>
      </c>
      <c r="H48" s="435"/>
      <c r="I48" s="443">
        <v>42510.2</v>
      </c>
    </row>
    <row r="49" spans="1:9" s="395" customFormat="1" ht="12" customHeight="1">
      <c r="A49" s="594" t="s">
        <v>1884</v>
      </c>
      <c r="B49" s="594" t="s">
        <v>1080</v>
      </c>
      <c r="C49" s="595">
        <v>241975.18</v>
      </c>
      <c r="D49" s="440">
        <v>0.4</v>
      </c>
      <c r="E49" s="432"/>
      <c r="F49" s="432"/>
      <c r="G49" s="440">
        <v>0.6</v>
      </c>
      <c r="H49" s="433"/>
      <c r="I49" s="441">
        <v>1</v>
      </c>
    </row>
    <row r="50" spans="1:9" s="395" customFormat="1" ht="12.95" customHeight="1">
      <c r="A50" s="594"/>
      <c r="B50" s="594"/>
      <c r="C50" s="595"/>
      <c r="D50" s="442">
        <v>96790.07</v>
      </c>
      <c r="E50" s="434"/>
      <c r="F50" s="434"/>
      <c r="G50" s="442">
        <v>145185.10999999999</v>
      </c>
      <c r="H50" s="435"/>
      <c r="I50" s="443">
        <v>241975.18</v>
      </c>
    </row>
    <row r="51" spans="1:9" s="395" customFormat="1" ht="12" customHeight="1">
      <c r="A51" s="594" t="s">
        <v>1984</v>
      </c>
      <c r="B51" s="594" t="s">
        <v>188</v>
      </c>
      <c r="C51" s="595">
        <v>36558.14</v>
      </c>
      <c r="D51" s="440">
        <v>0.4</v>
      </c>
      <c r="E51" s="432"/>
      <c r="F51" s="432"/>
      <c r="G51" s="440">
        <v>0.6</v>
      </c>
      <c r="H51" s="433"/>
      <c r="I51" s="441">
        <v>1</v>
      </c>
    </row>
    <row r="52" spans="1:9" s="395" customFormat="1" ht="12.95" customHeight="1">
      <c r="A52" s="594"/>
      <c r="B52" s="594"/>
      <c r="C52" s="595"/>
      <c r="D52" s="442">
        <v>14623.26</v>
      </c>
      <c r="E52" s="434"/>
      <c r="F52" s="434"/>
      <c r="G52" s="442">
        <v>21934.880000000001</v>
      </c>
      <c r="H52" s="435"/>
      <c r="I52" s="443">
        <v>36558.14</v>
      </c>
    </row>
    <row r="53" spans="1:9" s="395" customFormat="1" ht="12" customHeight="1">
      <c r="A53" s="594" t="s">
        <v>1998</v>
      </c>
      <c r="B53" s="594" t="s">
        <v>64</v>
      </c>
      <c r="C53" s="595">
        <v>66336.95</v>
      </c>
      <c r="D53" s="432"/>
      <c r="E53" s="440">
        <v>0.5</v>
      </c>
      <c r="F53" s="432"/>
      <c r="G53" s="440">
        <v>0.5</v>
      </c>
      <c r="H53" s="433"/>
      <c r="I53" s="441">
        <v>1</v>
      </c>
    </row>
    <row r="54" spans="1:9" s="395" customFormat="1" ht="12.95" customHeight="1">
      <c r="A54" s="594"/>
      <c r="B54" s="594"/>
      <c r="C54" s="595"/>
      <c r="D54" s="434"/>
      <c r="E54" s="442">
        <v>33168.480000000003</v>
      </c>
      <c r="F54" s="434"/>
      <c r="G54" s="442">
        <v>33168.47</v>
      </c>
      <c r="H54" s="435"/>
      <c r="I54" s="443">
        <v>66336.95</v>
      </c>
    </row>
    <row r="55" spans="1:9" s="395" customFormat="1" ht="12" customHeight="1">
      <c r="A55" s="594" t="s">
        <v>2023</v>
      </c>
      <c r="B55" s="594" t="s">
        <v>65</v>
      </c>
      <c r="C55" s="595">
        <v>8601.6299999999992</v>
      </c>
      <c r="D55" s="432"/>
      <c r="E55" s="440">
        <v>0.5</v>
      </c>
      <c r="F55" s="432"/>
      <c r="G55" s="440">
        <v>0.5</v>
      </c>
      <c r="H55" s="433"/>
      <c r="I55" s="441">
        <v>1</v>
      </c>
    </row>
    <row r="56" spans="1:9" s="395" customFormat="1" ht="12.95" customHeight="1">
      <c r="A56" s="594"/>
      <c r="B56" s="594"/>
      <c r="C56" s="595"/>
      <c r="D56" s="434"/>
      <c r="E56" s="442">
        <v>4300.82</v>
      </c>
      <c r="F56" s="434"/>
      <c r="G56" s="442">
        <v>4300.8100000000004</v>
      </c>
      <c r="H56" s="435"/>
      <c r="I56" s="443">
        <v>8601.6299999999992</v>
      </c>
    </row>
    <row r="57" spans="1:9" s="395" customFormat="1" ht="12" customHeight="1">
      <c r="A57" s="594" t="s">
        <v>2026</v>
      </c>
      <c r="B57" s="594" t="s">
        <v>869</v>
      </c>
      <c r="C57" s="595">
        <v>15658.02</v>
      </c>
      <c r="D57" s="432"/>
      <c r="E57" s="440">
        <v>0.5</v>
      </c>
      <c r="F57" s="432"/>
      <c r="G57" s="440">
        <v>0.5</v>
      </c>
      <c r="H57" s="433"/>
      <c r="I57" s="441">
        <v>1</v>
      </c>
    </row>
    <row r="58" spans="1:9" s="395" customFormat="1" ht="12.95" customHeight="1">
      <c r="A58" s="594"/>
      <c r="B58" s="594"/>
      <c r="C58" s="595"/>
      <c r="D58" s="434"/>
      <c r="E58" s="442">
        <v>7829.01</v>
      </c>
      <c r="F58" s="434"/>
      <c r="G58" s="442">
        <v>7829.01</v>
      </c>
      <c r="H58" s="435"/>
      <c r="I58" s="443">
        <v>15658.02</v>
      </c>
    </row>
    <row r="59" spans="1:9" s="395" customFormat="1" ht="12" customHeight="1">
      <c r="A59" s="594" t="s">
        <v>2031</v>
      </c>
      <c r="B59" s="594" t="s">
        <v>66</v>
      </c>
      <c r="C59" s="595">
        <v>74246.52</v>
      </c>
      <c r="D59" s="432"/>
      <c r="E59" s="432"/>
      <c r="F59" s="432"/>
      <c r="G59" s="432"/>
      <c r="H59" s="445">
        <v>1</v>
      </c>
      <c r="I59" s="441">
        <v>1</v>
      </c>
    </row>
    <row r="60" spans="1:9" s="395" customFormat="1" ht="12.95" customHeight="1">
      <c r="A60" s="594"/>
      <c r="B60" s="594"/>
      <c r="C60" s="595"/>
      <c r="D60" s="434"/>
      <c r="E60" s="434"/>
      <c r="F60" s="434"/>
      <c r="G60" s="434"/>
      <c r="H60" s="446">
        <v>74246.52</v>
      </c>
      <c r="I60" s="443">
        <v>74246.52</v>
      </c>
    </row>
    <row r="61" spans="1:9" s="395" customFormat="1" ht="12" customHeight="1">
      <c r="A61" s="594" t="s">
        <v>2034</v>
      </c>
      <c r="B61" s="594" t="s">
        <v>1264</v>
      </c>
      <c r="C61" s="595">
        <v>198969.12</v>
      </c>
      <c r="D61" s="432"/>
      <c r="E61" s="432"/>
      <c r="F61" s="432"/>
      <c r="G61" s="440">
        <v>0.7</v>
      </c>
      <c r="H61" s="445">
        <v>0.3</v>
      </c>
      <c r="I61" s="441">
        <v>1</v>
      </c>
    </row>
    <row r="62" spans="1:9" s="395" customFormat="1" ht="12.95" customHeight="1">
      <c r="A62" s="594"/>
      <c r="B62" s="594"/>
      <c r="C62" s="595"/>
      <c r="D62" s="434"/>
      <c r="E62" s="434"/>
      <c r="F62" s="434"/>
      <c r="G62" s="442">
        <v>139278.38</v>
      </c>
      <c r="H62" s="446">
        <v>59690.74</v>
      </c>
      <c r="I62" s="443">
        <v>198969.12</v>
      </c>
    </row>
    <row r="63" spans="1:9" s="395" customFormat="1" ht="12" customHeight="1">
      <c r="A63" s="594" t="s">
        <v>2051</v>
      </c>
      <c r="B63" s="594" t="s">
        <v>67</v>
      </c>
      <c r="C63" s="595">
        <v>257044.65</v>
      </c>
      <c r="D63" s="440">
        <v>0.2</v>
      </c>
      <c r="E63" s="440">
        <v>0.2</v>
      </c>
      <c r="F63" s="440">
        <v>0.18</v>
      </c>
      <c r="G63" s="440">
        <v>0.3</v>
      </c>
      <c r="H63" s="445">
        <v>0.12</v>
      </c>
      <c r="I63" s="441">
        <v>1</v>
      </c>
    </row>
    <row r="64" spans="1:9" s="395" customFormat="1" ht="24" customHeight="1">
      <c r="A64" s="594"/>
      <c r="B64" s="594"/>
      <c r="C64" s="595"/>
      <c r="D64" s="442">
        <v>51408.93</v>
      </c>
      <c r="E64" s="442">
        <v>51408.93</v>
      </c>
      <c r="F64" s="442">
        <v>46268.04</v>
      </c>
      <c r="G64" s="442">
        <v>77113.399999999994</v>
      </c>
      <c r="H64" s="446">
        <v>30845.35</v>
      </c>
      <c r="I64" s="443">
        <v>257044.65</v>
      </c>
    </row>
    <row r="65" spans="1:9" s="395" customFormat="1" ht="12" customHeight="1">
      <c r="A65" s="594" t="s">
        <v>2061</v>
      </c>
      <c r="B65" s="594" t="s">
        <v>70</v>
      </c>
      <c r="C65" s="595">
        <v>9572.93</v>
      </c>
      <c r="D65" s="432"/>
      <c r="E65" s="432"/>
      <c r="F65" s="432"/>
      <c r="G65" s="432"/>
      <c r="H65" s="445">
        <v>1</v>
      </c>
      <c r="I65" s="441">
        <v>1</v>
      </c>
    </row>
    <row r="66" spans="1:9" s="395" customFormat="1" ht="12.95" customHeight="1">
      <c r="A66" s="594"/>
      <c r="B66" s="594"/>
      <c r="C66" s="595"/>
      <c r="D66" s="434"/>
      <c r="E66" s="434"/>
      <c r="F66" s="434"/>
      <c r="G66" s="434"/>
      <c r="H66" s="446">
        <v>9572.93</v>
      </c>
      <c r="I66" s="443">
        <v>9572.93</v>
      </c>
    </row>
    <row r="67" spans="1:9" s="395" customFormat="1" ht="12" customHeight="1">
      <c r="A67" s="436"/>
      <c r="B67" s="437"/>
      <c r="C67" s="593">
        <v>5935186.6799999997</v>
      </c>
      <c r="D67" s="444">
        <v>994803.47</v>
      </c>
      <c r="E67" s="444">
        <v>946204.09</v>
      </c>
      <c r="F67" s="444">
        <v>1214208.79</v>
      </c>
      <c r="G67" s="444">
        <v>2036951.19</v>
      </c>
      <c r="H67" s="446">
        <v>743019.14</v>
      </c>
      <c r="I67" s="592">
        <v>5935186.6799999997</v>
      </c>
    </row>
    <row r="68" spans="1:9" s="395" customFormat="1" ht="12.95" customHeight="1">
      <c r="A68" s="438"/>
      <c r="B68" s="439"/>
      <c r="C68" s="593"/>
      <c r="D68" s="442">
        <v>994803.47</v>
      </c>
      <c r="E68" s="442">
        <v>1941007.56</v>
      </c>
      <c r="F68" s="442">
        <v>3155216.35</v>
      </c>
      <c r="G68" s="442">
        <v>5192167.54</v>
      </c>
      <c r="H68" s="446">
        <v>5935186.6799999997</v>
      </c>
      <c r="I68" s="592"/>
    </row>
    <row r="69" spans="1:9" ht="12" customHeight="1">
      <c r="A69" s="229"/>
      <c r="B69" s="229"/>
      <c r="C69" s="229"/>
      <c r="D69" s="229"/>
      <c r="E69" s="229"/>
      <c r="F69" s="229"/>
      <c r="G69" s="229"/>
      <c r="H69" s="127"/>
      <c r="I69" s="127"/>
    </row>
    <row r="70" spans="1:9" ht="12" customHeight="1">
      <c r="A70" s="229"/>
      <c r="B70" s="229"/>
      <c r="C70" s="229"/>
      <c r="D70" s="229"/>
      <c r="E70" s="229"/>
      <c r="F70" s="229"/>
      <c r="G70" s="229"/>
      <c r="H70" s="127"/>
      <c r="I70" s="127"/>
    </row>
    <row r="71" spans="1:9" s="144" customFormat="1" ht="12" customHeight="1">
      <c r="A71" s="597"/>
      <c r="B71" s="597"/>
      <c r="C71" s="597"/>
      <c r="D71" s="597"/>
      <c r="E71" s="597"/>
      <c r="F71" s="597"/>
      <c r="G71" s="597"/>
      <c r="H71" s="597"/>
      <c r="I71" s="143"/>
    </row>
    <row r="72" spans="1:9" ht="12" customHeight="1">
      <c r="A72" s="229"/>
      <c r="B72" s="229"/>
      <c r="C72" s="229"/>
      <c r="D72" s="229"/>
      <c r="E72" s="229"/>
      <c r="F72" s="229"/>
      <c r="G72" s="229"/>
      <c r="H72" s="127"/>
      <c r="I72" s="127"/>
    </row>
    <row r="73" spans="1:9" ht="12" customHeight="1">
      <c r="A73" s="229"/>
      <c r="B73" s="229"/>
      <c r="C73" s="229"/>
      <c r="D73" s="229"/>
      <c r="E73" s="229"/>
      <c r="F73" s="229"/>
      <c r="G73" s="229"/>
      <c r="H73" s="127"/>
      <c r="I73" s="127"/>
    </row>
    <row r="74" spans="1:9" s="144" customFormat="1" ht="12" customHeight="1">
      <c r="A74" s="597"/>
      <c r="B74" s="597"/>
      <c r="C74" s="597"/>
      <c r="D74" s="597"/>
      <c r="E74" s="597"/>
      <c r="F74" s="597"/>
      <c r="G74" s="597"/>
      <c r="H74" s="597"/>
      <c r="I74" s="143"/>
    </row>
    <row r="75" spans="1:9" s="74" customFormat="1" ht="80.25" customHeight="1">
      <c r="A75" s="596" t="s">
        <v>1259</v>
      </c>
      <c r="B75" s="596"/>
      <c r="C75" s="596"/>
      <c r="D75" s="596"/>
      <c r="E75" s="596"/>
      <c r="F75" s="596"/>
      <c r="G75" s="596"/>
      <c r="H75" s="596"/>
      <c r="I75" s="596"/>
    </row>
    <row r="76" spans="1:9" ht="13.15" customHeight="1"/>
    <row r="77" spans="1:9" ht="12" customHeight="1"/>
    <row r="78" spans="1:9" ht="13.15" customHeight="1"/>
    <row r="79" spans="1:9" ht="12" customHeight="1"/>
    <row r="80" spans="1:9" ht="13.15" customHeight="1"/>
    <row r="81" ht="12" customHeight="1"/>
    <row r="82" ht="13.15" customHeight="1"/>
    <row r="83" ht="12" customHeight="1"/>
    <row r="84" ht="13.15" customHeight="1"/>
    <row r="85" ht="12" customHeight="1"/>
    <row r="86" ht="13.15" customHeight="1"/>
    <row r="87" ht="12" customHeight="1"/>
    <row r="88" ht="13.15" customHeight="1"/>
    <row r="89" ht="12" customHeight="1"/>
    <row r="90" ht="13.15" customHeight="1"/>
    <row r="91" ht="12" customHeight="1"/>
    <row r="92" ht="24" customHeight="1"/>
    <row r="93" ht="12" customHeight="1"/>
    <row r="94" ht="13.15" customHeight="1"/>
    <row r="95" ht="12" customHeight="1"/>
    <row r="96" ht="13.1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sheetData>
  <mergeCells count="95">
    <mergeCell ref="A75:I75"/>
    <mergeCell ref="A71:H71"/>
    <mergeCell ref="A74:H74"/>
    <mergeCell ref="A1:I1"/>
    <mergeCell ref="A3:I3"/>
    <mergeCell ref="B5:D5"/>
    <mergeCell ref="G5:H5"/>
    <mergeCell ref="B6:E6"/>
    <mergeCell ref="I13:K13"/>
    <mergeCell ref="B9:D10"/>
    <mergeCell ref="A9:A10"/>
    <mergeCell ref="G9:I10"/>
    <mergeCell ref="G6:H7"/>
    <mergeCell ref="I6:I7"/>
    <mergeCell ref="A12:I12"/>
    <mergeCell ref="A15:A16"/>
    <mergeCell ref="B15:B16"/>
    <mergeCell ref="C15:C16"/>
    <mergeCell ref="A17:A18"/>
    <mergeCell ref="B17:B18"/>
    <mergeCell ref="C17:C18"/>
    <mergeCell ref="A19:A20"/>
    <mergeCell ref="B19:B20"/>
    <mergeCell ref="C19:C20"/>
    <mergeCell ref="A21:A22"/>
    <mergeCell ref="B21:B22"/>
    <mergeCell ref="C21:C22"/>
    <mergeCell ref="A27:A28"/>
    <mergeCell ref="B27:B28"/>
    <mergeCell ref="C27:C28"/>
    <mergeCell ref="A23:A24"/>
    <mergeCell ref="B23:B24"/>
    <mergeCell ref="C23:C24"/>
    <mergeCell ref="A25:A26"/>
    <mergeCell ref="B25:B26"/>
    <mergeCell ref="C25:C26"/>
    <mergeCell ref="A29:A30"/>
    <mergeCell ref="B29:B30"/>
    <mergeCell ref="C29:C30"/>
    <mergeCell ref="A31:A32"/>
    <mergeCell ref="B31:B32"/>
    <mergeCell ref="C31:C32"/>
    <mergeCell ref="A35:A36"/>
    <mergeCell ref="B35:B36"/>
    <mergeCell ref="C35:C36"/>
    <mergeCell ref="A33:A34"/>
    <mergeCell ref="B33:B34"/>
    <mergeCell ref="C33:C34"/>
    <mergeCell ref="A37:A38"/>
    <mergeCell ref="B37:B38"/>
    <mergeCell ref="C37:C38"/>
    <mergeCell ref="A39:A40"/>
    <mergeCell ref="B39:B40"/>
    <mergeCell ref="C39:C40"/>
    <mergeCell ref="A45:A46"/>
    <mergeCell ref="B45:B46"/>
    <mergeCell ref="C45:C46"/>
    <mergeCell ref="A41:A42"/>
    <mergeCell ref="B41:B42"/>
    <mergeCell ref="C41:C42"/>
    <mergeCell ref="A43:A44"/>
    <mergeCell ref="B43:B44"/>
    <mergeCell ref="C43:C44"/>
    <mergeCell ref="A47:A48"/>
    <mergeCell ref="B47:B48"/>
    <mergeCell ref="C47:C48"/>
    <mergeCell ref="A49:A50"/>
    <mergeCell ref="B49:B50"/>
    <mergeCell ref="C49:C50"/>
    <mergeCell ref="A51:A52"/>
    <mergeCell ref="B51:B52"/>
    <mergeCell ref="C51:C52"/>
    <mergeCell ref="A53:A54"/>
    <mergeCell ref="B53:B54"/>
    <mergeCell ref="C53:C54"/>
    <mergeCell ref="A59:A60"/>
    <mergeCell ref="B59:B60"/>
    <mergeCell ref="C59:C60"/>
    <mergeCell ref="A55:A56"/>
    <mergeCell ref="B55:B56"/>
    <mergeCell ref="C55:C56"/>
    <mergeCell ref="A57:A58"/>
    <mergeCell ref="B57:B58"/>
    <mergeCell ref="C57:C58"/>
    <mergeCell ref="A63:A64"/>
    <mergeCell ref="B63:B64"/>
    <mergeCell ref="C63:C64"/>
    <mergeCell ref="A61:A62"/>
    <mergeCell ref="B61:B62"/>
    <mergeCell ref="C61:C62"/>
    <mergeCell ref="I67:I68"/>
    <mergeCell ref="C67:C68"/>
    <mergeCell ref="A65:A66"/>
    <mergeCell ref="B65:B66"/>
    <mergeCell ref="C65:C66"/>
  </mergeCells>
  <printOptions horizontalCentered="1"/>
  <pageMargins left="0.23622047244094491" right="0.23622047244094491" top="0.55118110236220474" bottom="0.74803149606299213" header="0.31496062992125984" footer="0.31496062992125984"/>
  <pageSetup paperSize="9" scale="68" fitToWidth="0" fitToHeight="0" orientation="landscape" r:id="rId1"/>
  <rowBreaks count="1" manualBreakCount="1">
    <brk id="4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15</vt:i4>
      </vt:variant>
    </vt:vector>
  </HeadingPairs>
  <TitlesOfParts>
    <vt:vector size="24" baseType="lpstr">
      <vt:lpstr>CÁLCULO BDI (NÃO DESON)</vt:lpstr>
      <vt:lpstr>BDI</vt:lpstr>
      <vt:lpstr>ORÇAMENTO SINTÉTICO (NÃO DESON)</vt:lpstr>
      <vt:lpstr>CURVA ABC (NÃO DESON) </vt:lpstr>
      <vt:lpstr>CCU (NÃO DESON) </vt:lpstr>
      <vt:lpstr>CÁLCULO BDI (DESON.)</vt:lpstr>
      <vt:lpstr>ORÇAMENTO SINTÉTICO (DESON)</vt:lpstr>
      <vt:lpstr>MEMÓRIA DE CÁLCULO</vt:lpstr>
      <vt:lpstr>CRONOGRAMA</vt:lpstr>
      <vt:lpstr>BDI!Area_de_impressao</vt:lpstr>
      <vt:lpstr>'CÁLCULO BDI (DESON.)'!Area_de_impressao</vt:lpstr>
      <vt:lpstr>'CÁLCULO BDI (NÃO DESON)'!Area_de_impressao</vt:lpstr>
      <vt:lpstr>'CCU (NÃO DESON) '!Area_de_impressao</vt:lpstr>
      <vt:lpstr>CRONOGRAMA!Area_de_impressao</vt:lpstr>
      <vt:lpstr>'CURVA ABC (NÃO DESON) '!Area_de_impressao</vt:lpstr>
      <vt:lpstr>'MEMÓRIA DE CÁLCULO'!Area_de_impressao</vt:lpstr>
      <vt:lpstr>'ORÇAMENTO SINTÉTICO (DESON)'!Area_de_impressao</vt:lpstr>
      <vt:lpstr>'ORÇAMENTO SINTÉTICO (NÃO DESON)'!Area_de_impressao</vt:lpstr>
      <vt:lpstr>'CCU (NÃO DESON) '!Titulos_de_impressao</vt:lpstr>
      <vt:lpstr>CRONOGRAMA!Titulos_de_impressao</vt:lpstr>
      <vt:lpstr>'CURVA ABC (NÃO DESON) '!Titulos_de_impressao</vt:lpstr>
      <vt:lpstr>'MEMÓRIA DE CÁLCULO'!Titulos_de_impressao</vt:lpstr>
      <vt:lpstr>'ORÇAMENTO SINTÉTICO (DESON)'!Titulos_de_impressao</vt:lpstr>
      <vt:lpstr>'ORÇAMENTO SINTÉTICO (NÃO DESON)'!Titulos_de_impressao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Plano</dc:creator>
  <cp:lastModifiedBy>Ricardo tanner Muniz</cp:lastModifiedBy>
  <cp:revision/>
  <cp:lastPrinted>2023-11-27T12:52:06Z</cp:lastPrinted>
  <dcterms:created xsi:type="dcterms:W3CDTF">2012-10-15T18:57:41Z</dcterms:created>
  <dcterms:modified xsi:type="dcterms:W3CDTF">2023-11-27T12:56:53Z</dcterms:modified>
</cp:coreProperties>
</file>