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<sst xmlns="http://schemas.openxmlformats.org/spreadsheetml/2006/main" count="613" uniqueCount="148">
  <si>
    <t>ITEM</t>
  </si>
  <si>
    <t>ESPECIFICAÇÃO DO MATERIAL</t>
  </si>
  <si>
    <t>QTD</t>
  </si>
  <si>
    <t>UNID</t>
  </si>
  <si>
    <t xml:space="preserve">PREFEITURA DA CIDADE DE CABO FRIO                                           </t>
  </si>
  <si>
    <t>SECRETARIA DE MOBILIDADE URBANA</t>
  </si>
  <si>
    <t>TOTAL GERAL</t>
  </si>
  <si>
    <t>MÉDIA UNIT</t>
  </si>
  <si>
    <t>AQUISIÇÃO DE CONJUNTO SEMAFÓRICO</t>
  </si>
  <si>
    <t>Retirada de bloco semafórico</t>
  </si>
  <si>
    <t>Instalação e teste de funcionamento de blocos semafóricos.</t>
  </si>
  <si>
    <t>Controlador eletrônico de tráfego de 4/8 fases, compatível com operação centralizada no modo em tempo fixo. Fornecimento</t>
  </si>
  <si>
    <t>Controlador eletrônico de tráfego de 4/8 fases, compatível com operação centralizada no modo adaptativo em tempo real online.</t>
  </si>
  <si>
    <t>Controlador eletrônico de tráfego de 8/16 fases, compatível com operação centralizada no modo adaptativo em tempo real online.</t>
  </si>
  <si>
    <t>Módulo de comunicação para operação centralizada de controlador de tráfego. Fornecimento</t>
  </si>
  <si>
    <t xml:space="preserve">Botoeira para travessia de pedestre com sinal sonoro, conforme CONTRAM. Fornecimento </t>
  </si>
  <si>
    <t>Retirada de controlador de tráfego.</t>
  </si>
  <si>
    <t>Instalação, programação e teste de funcionamento de controlador de tráfego.</t>
  </si>
  <si>
    <t>instalação de Detectores (Vídeo Detecção)</t>
  </si>
  <si>
    <t>Calibração de Detectores (Vídeo Detecção)</t>
  </si>
  <si>
    <t xml:space="preserve">Base para sustentação de poste de aço reto de até 7 m modelo trapezoidal em aço zincado, com altura de 400 mm com portinhola de visita, inclusive chumbadores e parafusos. Fornecimento. </t>
  </si>
  <si>
    <t>Retirada de poste com braço projetado, diâmetro maior que 4"</t>
  </si>
  <si>
    <t>Cabo para alimentação de semáforo, seção de 7 x 1,5 mm. Fornecimento e instalação.</t>
  </si>
  <si>
    <t>Cabo elétrico singelo de 10 mm.</t>
  </si>
  <si>
    <t>Caixa de passagem com tampa de ferro tipo leve 300 l - 400 mm de altura. Fornecimento e assentamento.</t>
  </si>
  <si>
    <t>Sistema autônomo de alimentação elétrica através de painéis solares.</t>
  </si>
  <si>
    <t>Haste para aterramento de cobre de 5/8" com 3 m de comprimento. Fornecimento e instalação.</t>
  </si>
  <si>
    <t>Retirada de cordoalhas e de cabos elétricos de interseção.</t>
  </si>
  <si>
    <t>Servidores do sistema de controle semafórico com sistema operacional para operação em tempo real.</t>
  </si>
  <si>
    <t>Terminal de operação com 2 monitores de 21"</t>
  </si>
  <si>
    <t>Switch Layer III</t>
  </si>
  <si>
    <t>Cabo de rede UTP CAT6</t>
  </si>
  <si>
    <t>Cabo de energia</t>
  </si>
  <si>
    <t>Racks 19"</t>
  </si>
  <si>
    <t>Patch Panel</t>
  </si>
  <si>
    <t>Licença aplicativo software de Gerenciamento de Tráfego (Central) para controle autoadptativo em tempo real. Customização e integração de Protocolo.</t>
  </si>
  <si>
    <t>Licença aplicativo software de Gerenciamento de Tráfego (Central) para controle em tempo fixo. Customização e integração de Protocolo.</t>
  </si>
  <si>
    <t>Gerenciamento de Projeto</t>
  </si>
  <si>
    <t>Testes e configuração dos sistemas de controle de tráfego e monitoramento urbano.</t>
  </si>
  <si>
    <t>Instalação Servidores</t>
  </si>
  <si>
    <t>Instalação rede interna centro de controle.</t>
  </si>
  <si>
    <t>Instalação de terminal de operação.</t>
  </si>
  <si>
    <t>Projeto Executivo de Instalação Centro de Controle</t>
  </si>
  <si>
    <t>Projeto executivo de instalação rede de comunicações.</t>
  </si>
  <si>
    <t>Projeto executivo de instalação cruzamentos - Civil, Elétrica e Detectores.</t>
  </si>
  <si>
    <t>Serviços de Consultoria de Pesquisa de Tráfego</t>
  </si>
  <si>
    <t>Serviços de Calibração de Engenharia de Tráfego</t>
  </si>
  <si>
    <t>Treinamento Sistema de Controle de Tráfego</t>
  </si>
  <si>
    <t>Manutenção Corretiva e Preventiva - Equie de Campo (12 meses). Centro de Controle, Gestão e Laboratório.</t>
  </si>
  <si>
    <t>Operação Assistida</t>
  </si>
  <si>
    <t>Disponibilização de link banda larga full</t>
  </si>
  <si>
    <t>Disponibilização de chip de dados 4G/LTE</t>
  </si>
  <si>
    <t>conjunto</t>
  </si>
  <si>
    <t>M</t>
  </si>
  <si>
    <t>KAPSCH CONTROLE DE TRAFEGO</t>
  </si>
  <si>
    <t>MÉDIA TOTAL POR ITEM</t>
  </si>
  <si>
    <t>SINALVIDA</t>
  </si>
  <si>
    <t>Blocos semafóricos principal com 3 (trés) módulos focais de 300 mm de diâmetro a LED, cobre-focos, anteparos, borrachas de vedação e suportes de fixação.</t>
  </si>
  <si>
    <t>Blocos semafóricos auxiliar com 3 (trés) módulos focais de 200 mm de diâmetro a LED, cobre-focos, anteparos, borrachas de vedação e suportes de fixação.</t>
  </si>
  <si>
    <t>Blocos semafóricos para pedestre com 2 (dois) módulos focais de 200 mm a LED, compreendendo foco verde "Siga" (boneco) e foco vermelho "Pare" (mão espalmada) com borrachas de vedação e suportes de fixação.</t>
  </si>
  <si>
    <t>Botoeira para travessia de pedestre convencional, conforme CONTRAM. Fornecimento</t>
  </si>
  <si>
    <t>Instalação e teste de funcionamento de 
botoeira.</t>
  </si>
  <si>
    <t>Detecção de vídeo (equipamento para até 4 faixas de rolamento)</t>
  </si>
  <si>
    <t>Coluna de aço cônica continua para até 4 (quatro) braços projetados capazes de sustentar cada um semáforo e placa de 3 m² (três metros quadrados); coluna galvanizada a fogo; comprimento de 6,00 m (seis metros) diâmetro na base igual a 187 mm (cento e oitenta e sete milímetros); Fornecimento.</t>
  </si>
  <si>
    <t>Coluna de aço cilíndrica de 4,5” x 6 m para semipórtico de semáforo.</t>
  </si>
  <si>
    <t>Braço projetado de aço para sustentação de semáforo e placa de até 3 m² (três metros quadrados), galvanizado a fogo para fixação em coluna cilíndrica giratória de 4” projeção de 5 m (cinco metros). Fornecimento</t>
  </si>
  <si>
    <t>Braço projetado de aço para sustentação de semáforo e placa de até 3 m² (três metros quadrados), galvanizado a fogo para fixação em coluna cônica giratória, projeção de 5 m (cinco metros), diâmetro de 123 mm (cento e um vírgula seis milímetros</t>
  </si>
  <si>
    <t>Assentamento de coluna de aço para até 4 (quatro) braços projetados capazes de sustentar, cada um, semáforo e placa de 3 m² (três metros quadrados) fixada por chumbadores engastados em fundação de concreto, exclusive fundação, exclusive fornecimento da coluna.</t>
  </si>
  <si>
    <t>Montagem de braço projetado de aço em coluna de aço , exclusive fornecimento do braço.</t>
  </si>
  <si>
    <t>Cabo para alimentação de semáforo, seção de 2 x 1,0 mm. Fornecimento e instalação.</t>
  </si>
  <si>
    <t>Cabo para alimentação de semáforo, seção de 3 x 1,5 mm. Fornecimento e instalação.</t>
  </si>
  <si>
    <t>Cabo para alimentação de semáforo, seção de 4 x 1,0 mm. Fornecimento e instalação.</t>
  </si>
  <si>
    <t>Padrão de energia Enel. Fornecimento e instalação</t>
  </si>
  <si>
    <t>MÊS</t>
  </si>
  <si>
    <t>CRUZAMENTO</t>
  </si>
  <si>
    <t>PEÇA</t>
  </si>
  <si>
    <t>HORA</t>
  </si>
  <si>
    <t>PTO X MÊS</t>
  </si>
  <si>
    <t>___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</si>
  <si>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</si>
  <si>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</si>
  <si>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</si>
  <si>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</si>
  <si>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</si>
  <si>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</si>
  <si>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</si>
  <si>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</si>
  <si>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</si>
  <si>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</si>
  <si>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</si>
  <si>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</si>
  <si>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</si>
  <si>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</si>
  <si>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</si>
  <si>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</si>
  <si>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</si>
  <si>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</si>
  <si>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</si>
  <si>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</si>
  <si>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</si>
  <si>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</si>
  <si>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</si>
  <si>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</si>
  <si>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</si>
  <si>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</si>
  <si>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</si>
  <si>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</si>
  <si>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</si>
  <si>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</si>
  <si>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</si>
  <si>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</si>
  <si>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</si>
  <si>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</si>
  <si>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</si>
  <si>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</si>
  <si>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</si>
  <si>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</si>
  <si>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</si>
  <si>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</si>
  <si>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</si>
  <si>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</si>
  <si>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</si>
  <si>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</si>
  <si>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</si>
  <si>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</si>
  <si>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</si>
  <si>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</si>
  <si>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</si>
  <si>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</si>
  <si>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</si>
  <si>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</si>
  <si>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</si>
  <si>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</si>
  <si>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</si>
  <si>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</si>
  <si>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</si>
  <si>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7.1</t>
  </si>
  <si>
    <t>7.2</t>
  </si>
  <si>
    <t>EMPRESAS</t>
  </si>
  <si>
    <t>DATAPROM*</t>
  </si>
  <si>
    <t>SERTTEL*</t>
  </si>
  <si>
    <t>SINAPE*</t>
  </si>
  <si>
    <t>TRIGONAL*</t>
  </si>
  <si>
    <t>CONTRANSIN*</t>
  </si>
  <si>
    <t>KOPP*</t>
  </si>
  <si>
    <t>ROTA*</t>
  </si>
  <si>
    <t>*FORAM ENVIADOS E-MAILS SOLICITANDO COTAÇÃO, PORÉM, APESAR DE REITERADOS, NÃO OBTIVEMOS RETORNO DAS EMPRESAS.</t>
  </si>
  <si>
    <t>SINALES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</si>
</sst>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4"/>
      <color theme="1"/>
      <name val="Algerian"/>
      <family val="5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95250</xdr:rowOff>
    </xdr:from>
    <xdr:to>
      <xdr:col>3</xdr:col>
      <xdr:colOff>1476375</xdr:colOff>
      <xdr:row>4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0" y="95250"/>
          <a:ext cx="66675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0"/>
  <sheetViews>
    <sheetView showGridLines="0" tabSelected="1" view="pageLayout" workbookViewId="0" topLeftCell="E54">
      <selection activeCell="P68" sqref="P68"/>
    </sheetView>
  </sheetViews>
  <sheetFormatPr defaultColWidth="9.140625" defaultRowHeight="15"/>
  <cols>
    <col min="1" max="1" width="5.57421875" style="0" customWidth="1"/>
    <col min="2" max="2" width="6.57421875" style="0" customWidth="1"/>
    <col min="3" max="3" width="14.28125" style="0" customWidth="1"/>
    <col min="4" max="4" width="44.421875" style="0" customWidth="1"/>
    <col min="5" max="5" width="11.57421875" style="0" customWidth="1"/>
    <col min="6" max="6" width="12.00390625" style="0" customWidth="1"/>
    <col min="7" max="7" width="11.7109375" style="0" bestFit="1" customWidth="1"/>
    <col min="8" max="8" width="8.140625" style="0" customWidth="1"/>
    <col min="9" max="9" width="7.28125" style="0" customWidth="1"/>
    <col min="10" max="10" width="9.57421875" style="0" customWidth="1"/>
    <col min="11" max="11" width="11.00390625" style="0" customWidth="1"/>
    <col min="12" max="12" width="12.57421875" style="0" customWidth="1"/>
    <col min="13" max="14" width="6.7109375" style="0" customWidth="1"/>
    <col min="15" max="15" width="12.140625" style="0" customWidth="1"/>
    <col min="16" max="16" width="17.140625" style="0" customWidth="1"/>
    <col min="17" max="17" width="11.7109375" style="0" customWidth="1"/>
  </cols>
  <sheetData>
    <row r="1" ht="15" customHeight="1"/>
    <row r="2" spans="1:17" ht="16.5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"/>
    </row>
    <row r="3" spans="1:17" ht="12.75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"/>
    </row>
    <row r="4" spans="3:17" ht="21" customHeight="1">
      <c r="C4" s="2"/>
      <c r="D4" s="2"/>
      <c r="E4" s="2"/>
      <c r="F4" s="2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</row>
    <row r="5" spans="1:17" ht="19.5" customHeight="1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"/>
    </row>
    <row r="6" ht="12.75" customHeight="1">
      <c r="C6" s="1"/>
    </row>
    <row r="7" spans="1:16" ht="15.75">
      <c r="A7" s="25" t="s">
        <v>0</v>
      </c>
      <c r="B7" s="25" t="s">
        <v>2</v>
      </c>
      <c r="C7" s="25" t="s">
        <v>3</v>
      </c>
      <c r="D7" s="25" t="s">
        <v>1</v>
      </c>
      <c r="E7" s="27" t="s">
        <v>138</v>
      </c>
      <c r="F7" s="28"/>
      <c r="G7" s="28"/>
      <c r="H7" s="28"/>
      <c r="I7" s="28"/>
      <c r="J7" s="28"/>
      <c r="K7" s="28"/>
      <c r="L7" s="28"/>
      <c r="M7" s="28"/>
      <c r="N7" s="29"/>
      <c r="O7" s="24" t="s">
        <v>7</v>
      </c>
      <c r="P7" s="21" t="s">
        <v>55</v>
      </c>
    </row>
    <row r="8" spans="1:16" ht="36" customHeight="1">
      <c r="A8" s="26"/>
      <c r="B8" s="26"/>
      <c r="C8" s="26"/>
      <c r="D8" s="26"/>
      <c r="E8" s="12" t="s">
        <v>54</v>
      </c>
      <c r="F8" s="12" t="s">
        <v>56</v>
      </c>
      <c r="G8" s="12" t="s">
        <v>147</v>
      </c>
      <c r="H8" s="12" t="s">
        <v>140</v>
      </c>
      <c r="I8" s="12" t="s">
        <v>141</v>
      </c>
      <c r="J8" s="12" t="s">
        <v>142</v>
      </c>
      <c r="K8" s="12" t="s">
        <v>139</v>
      </c>
      <c r="L8" s="12" t="s">
        <v>143</v>
      </c>
      <c r="M8" s="12" t="s">
        <v>144</v>
      </c>
      <c r="N8" s="12" t="s">
        <v>145</v>
      </c>
      <c r="O8" s="24"/>
      <c r="P8" s="21"/>
    </row>
    <row r="9" spans="1:16" ht="51.75">
      <c r="A9" s="4" t="s">
        <v>79</v>
      </c>
      <c r="B9" s="5">
        <v>158</v>
      </c>
      <c r="C9" s="4" t="s">
        <v>3</v>
      </c>
      <c r="D9" s="15" t="s">
        <v>57</v>
      </c>
      <c r="E9" s="11">
        <v>3367.33</v>
      </c>
      <c r="F9" s="11">
        <v>2300</v>
      </c>
      <c r="G9" s="11">
        <v>2500</v>
      </c>
      <c r="H9" s="11" t="s">
        <v>78</v>
      </c>
      <c r="I9" s="11" t="s">
        <v>78</v>
      </c>
      <c r="J9" s="11" t="s">
        <v>78</v>
      </c>
      <c r="K9" s="11" t="s">
        <v>78</v>
      </c>
      <c r="L9" s="11" t="s">
        <v>78</v>
      </c>
      <c r="M9" s="11" t="s">
        <v>78</v>
      </c>
      <c r="N9" s="11" t="s">
        <v>78</v>
      </c>
      <c r="O9" s="6">
        <f>AVERAGE(E9:G9)</f>
        <v>2722.443333333333</v>
      </c>
      <c r="P9" s="9">
        <f>2722.44*B9</f>
        <v>430145.52</v>
      </c>
    </row>
    <row r="10" spans="1:16" ht="51.75">
      <c r="A10" s="4" t="s">
        <v>80</v>
      </c>
      <c r="B10" s="4">
        <v>158</v>
      </c>
      <c r="C10" s="4" t="s">
        <v>3</v>
      </c>
      <c r="D10" s="15" t="s">
        <v>58</v>
      </c>
      <c r="E10" s="7">
        <v>2731.3</v>
      </c>
      <c r="F10" s="7">
        <v>2100</v>
      </c>
      <c r="G10" s="11">
        <v>1980</v>
      </c>
      <c r="H10" s="11" t="s">
        <v>78</v>
      </c>
      <c r="I10" s="11" t="s">
        <v>78</v>
      </c>
      <c r="J10" s="11" t="s">
        <v>78</v>
      </c>
      <c r="K10" s="11" t="s">
        <v>78</v>
      </c>
      <c r="L10" s="11" t="s">
        <v>78</v>
      </c>
      <c r="M10" s="11" t="s">
        <v>78</v>
      </c>
      <c r="N10" s="11" t="s">
        <v>78</v>
      </c>
      <c r="O10" s="6">
        <f aca="true" t="shared" si="0" ref="O10:O67">AVERAGE(E10:G10)</f>
        <v>2270.4333333333334</v>
      </c>
      <c r="P10" s="9">
        <f>2270.43*B10</f>
        <v>358727.94</v>
      </c>
    </row>
    <row r="11" spans="1:16" ht="64.5">
      <c r="A11" s="4" t="s">
        <v>81</v>
      </c>
      <c r="B11" s="4">
        <v>201</v>
      </c>
      <c r="C11" s="4" t="s">
        <v>3</v>
      </c>
      <c r="D11" s="15" t="s">
        <v>59</v>
      </c>
      <c r="E11" s="7">
        <v>1963.16</v>
      </c>
      <c r="F11" s="7">
        <v>1228.99</v>
      </c>
      <c r="G11" s="11">
        <v>1100</v>
      </c>
      <c r="H11" s="11" t="s">
        <v>78</v>
      </c>
      <c r="I11" s="11" t="s">
        <v>78</v>
      </c>
      <c r="J11" s="11" t="s">
        <v>78</v>
      </c>
      <c r="K11" s="11" t="s">
        <v>78</v>
      </c>
      <c r="L11" s="11" t="s">
        <v>78</v>
      </c>
      <c r="M11" s="11" t="s">
        <v>78</v>
      </c>
      <c r="N11" s="11" t="s">
        <v>78</v>
      </c>
      <c r="O11" s="6">
        <f t="shared" si="0"/>
        <v>1430.7166666666665</v>
      </c>
      <c r="P11" s="9">
        <f>1430.72*B11</f>
        <v>287574.72000000003</v>
      </c>
    </row>
    <row r="12" spans="1:16" ht="15.75">
      <c r="A12" s="4" t="s">
        <v>82</v>
      </c>
      <c r="B12" s="4">
        <v>212</v>
      </c>
      <c r="C12" s="4" t="s">
        <v>3</v>
      </c>
      <c r="D12" s="13" t="s">
        <v>9</v>
      </c>
      <c r="E12" s="7">
        <v>68.49</v>
      </c>
      <c r="F12" s="7">
        <v>86.06</v>
      </c>
      <c r="G12" s="11">
        <v>190</v>
      </c>
      <c r="H12" s="11" t="s">
        <v>78</v>
      </c>
      <c r="I12" s="11" t="s">
        <v>78</v>
      </c>
      <c r="J12" s="11" t="s">
        <v>78</v>
      </c>
      <c r="K12" s="11" t="s">
        <v>78</v>
      </c>
      <c r="L12" s="11" t="s">
        <v>78</v>
      </c>
      <c r="M12" s="11" t="s">
        <v>78</v>
      </c>
      <c r="N12" s="11" t="s">
        <v>78</v>
      </c>
      <c r="O12" s="6">
        <f t="shared" si="0"/>
        <v>114.85000000000001</v>
      </c>
      <c r="P12" s="9">
        <f>114.85*B12</f>
        <v>24348.199999999997</v>
      </c>
    </row>
    <row r="13" spans="1:16" ht="26.25">
      <c r="A13" s="4" t="s">
        <v>83</v>
      </c>
      <c r="B13" s="4">
        <v>517</v>
      </c>
      <c r="C13" s="4" t="s">
        <v>3</v>
      </c>
      <c r="D13" s="15" t="s">
        <v>10</v>
      </c>
      <c r="E13" s="7">
        <v>124.59</v>
      </c>
      <c r="F13" s="7">
        <v>165.49</v>
      </c>
      <c r="G13" s="11">
        <v>190</v>
      </c>
      <c r="H13" s="11" t="s">
        <v>78</v>
      </c>
      <c r="I13" s="11" t="s">
        <v>78</v>
      </c>
      <c r="J13" s="11" t="s">
        <v>78</v>
      </c>
      <c r="K13" s="11" t="s">
        <v>78</v>
      </c>
      <c r="L13" s="11" t="s">
        <v>78</v>
      </c>
      <c r="M13" s="11" t="s">
        <v>78</v>
      </c>
      <c r="N13" s="11" t="s">
        <v>78</v>
      </c>
      <c r="O13" s="6">
        <f t="shared" si="0"/>
        <v>160.02666666666667</v>
      </c>
      <c r="P13" s="9">
        <f>160.03*B13</f>
        <v>82735.51</v>
      </c>
    </row>
    <row r="14" spans="1:16" ht="39">
      <c r="A14" s="4" t="s">
        <v>84</v>
      </c>
      <c r="B14" s="4">
        <v>35</v>
      </c>
      <c r="C14" s="4" t="s">
        <v>3</v>
      </c>
      <c r="D14" s="15" t="s">
        <v>11</v>
      </c>
      <c r="E14" s="7">
        <v>26272.08</v>
      </c>
      <c r="F14" s="7">
        <v>12144.2</v>
      </c>
      <c r="G14" s="11">
        <v>17600</v>
      </c>
      <c r="H14" s="11" t="s">
        <v>78</v>
      </c>
      <c r="I14" s="11" t="s">
        <v>78</v>
      </c>
      <c r="J14" s="11" t="s">
        <v>78</v>
      </c>
      <c r="K14" s="11" t="s">
        <v>78</v>
      </c>
      <c r="L14" s="11" t="s">
        <v>78</v>
      </c>
      <c r="M14" s="11" t="s">
        <v>78</v>
      </c>
      <c r="N14" s="11" t="s">
        <v>78</v>
      </c>
      <c r="O14" s="6">
        <f t="shared" si="0"/>
        <v>18672.093333333334</v>
      </c>
      <c r="P14" s="9">
        <f>18672.09*B14</f>
        <v>653523.15</v>
      </c>
    </row>
    <row r="15" spans="1:16" ht="39">
      <c r="A15" s="4" t="s">
        <v>85</v>
      </c>
      <c r="B15" s="4">
        <v>10</v>
      </c>
      <c r="C15" s="4" t="s">
        <v>3</v>
      </c>
      <c r="D15" s="15" t="s">
        <v>12</v>
      </c>
      <c r="E15" s="7">
        <v>60361.16</v>
      </c>
      <c r="F15" s="7">
        <v>29504.2</v>
      </c>
      <c r="G15" s="11">
        <v>25000</v>
      </c>
      <c r="H15" s="11" t="s">
        <v>78</v>
      </c>
      <c r="I15" s="11" t="s">
        <v>78</v>
      </c>
      <c r="J15" s="11" t="s">
        <v>78</v>
      </c>
      <c r="K15" s="11" t="s">
        <v>78</v>
      </c>
      <c r="L15" s="11" t="s">
        <v>78</v>
      </c>
      <c r="M15" s="11" t="s">
        <v>78</v>
      </c>
      <c r="N15" s="11" t="s">
        <v>78</v>
      </c>
      <c r="O15" s="6">
        <f t="shared" si="0"/>
        <v>38288.45333333333</v>
      </c>
      <c r="P15" s="9">
        <f>38288.45*B15</f>
        <v>382884.5</v>
      </c>
    </row>
    <row r="16" spans="1:16" ht="39">
      <c r="A16" s="4" t="s">
        <v>86</v>
      </c>
      <c r="B16" s="4">
        <v>2</v>
      </c>
      <c r="C16" s="4" t="s">
        <v>3</v>
      </c>
      <c r="D16" s="14" t="s">
        <v>13</v>
      </c>
      <c r="E16" s="7">
        <v>65791.47</v>
      </c>
      <c r="F16" s="7">
        <v>31322.16</v>
      </c>
      <c r="G16" s="11">
        <v>35000</v>
      </c>
      <c r="H16" s="11" t="s">
        <v>78</v>
      </c>
      <c r="I16" s="11" t="s">
        <v>78</v>
      </c>
      <c r="J16" s="11" t="s">
        <v>78</v>
      </c>
      <c r="K16" s="11" t="s">
        <v>78</v>
      </c>
      <c r="L16" s="11" t="s">
        <v>78</v>
      </c>
      <c r="M16" s="11" t="s">
        <v>78</v>
      </c>
      <c r="N16" s="11" t="s">
        <v>78</v>
      </c>
      <c r="O16" s="6">
        <f t="shared" si="0"/>
        <v>44037.87666666667</v>
      </c>
      <c r="P16" s="9">
        <f>44037.88*B16</f>
        <v>88075.76</v>
      </c>
    </row>
    <row r="17" spans="1:16" ht="27" customHeight="1">
      <c r="A17" s="4" t="s">
        <v>87</v>
      </c>
      <c r="B17" s="4">
        <v>47</v>
      </c>
      <c r="C17" s="4" t="s">
        <v>3</v>
      </c>
      <c r="D17" s="15" t="s">
        <v>14</v>
      </c>
      <c r="E17" s="7">
        <v>8998.85</v>
      </c>
      <c r="F17" s="7">
        <v>4650</v>
      </c>
      <c r="G17" s="11">
        <v>3900</v>
      </c>
      <c r="H17" s="11" t="s">
        <v>78</v>
      </c>
      <c r="I17" s="11" t="s">
        <v>78</v>
      </c>
      <c r="J17" s="11" t="s">
        <v>78</v>
      </c>
      <c r="K17" s="11" t="s">
        <v>78</v>
      </c>
      <c r="L17" s="11" t="s">
        <v>78</v>
      </c>
      <c r="M17" s="11" t="s">
        <v>78</v>
      </c>
      <c r="N17" s="11" t="s">
        <v>78</v>
      </c>
      <c r="O17" s="6">
        <f t="shared" si="0"/>
        <v>5849.616666666666</v>
      </c>
      <c r="P17" s="9">
        <f>5849.62*B17</f>
        <v>274932.14</v>
      </c>
    </row>
    <row r="18" spans="1:16" ht="26.25">
      <c r="A18" s="4" t="s">
        <v>88</v>
      </c>
      <c r="B18" s="4">
        <v>56</v>
      </c>
      <c r="C18" s="4" t="s">
        <v>3</v>
      </c>
      <c r="D18" s="14" t="s">
        <v>60</v>
      </c>
      <c r="E18" s="7">
        <v>262.5</v>
      </c>
      <c r="F18" s="7">
        <v>288</v>
      </c>
      <c r="G18" s="11">
        <v>300</v>
      </c>
      <c r="H18" s="11" t="s">
        <v>78</v>
      </c>
      <c r="I18" s="11" t="s">
        <v>78</v>
      </c>
      <c r="J18" s="11" t="s">
        <v>78</v>
      </c>
      <c r="K18" s="11" t="s">
        <v>78</v>
      </c>
      <c r="L18" s="11" t="s">
        <v>78</v>
      </c>
      <c r="M18" s="11" t="s">
        <v>78</v>
      </c>
      <c r="N18" s="11" t="s">
        <v>78</v>
      </c>
      <c r="O18" s="6">
        <f t="shared" si="0"/>
        <v>283.5</v>
      </c>
      <c r="P18" s="9">
        <f>283.5*B18</f>
        <v>15876</v>
      </c>
    </row>
    <row r="19" spans="1:16" ht="26.25">
      <c r="A19" s="4" t="s">
        <v>89</v>
      </c>
      <c r="B19" s="4">
        <v>40</v>
      </c>
      <c r="C19" s="4" t="s">
        <v>3</v>
      </c>
      <c r="D19" s="15" t="s">
        <v>15</v>
      </c>
      <c r="E19" s="7">
        <v>2465</v>
      </c>
      <c r="F19" s="7">
        <v>3080</v>
      </c>
      <c r="G19" s="11">
        <v>2700</v>
      </c>
      <c r="H19" s="11" t="s">
        <v>78</v>
      </c>
      <c r="I19" s="11" t="s">
        <v>78</v>
      </c>
      <c r="J19" s="11" t="s">
        <v>78</v>
      </c>
      <c r="K19" s="11" t="s">
        <v>78</v>
      </c>
      <c r="L19" s="11" t="s">
        <v>78</v>
      </c>
      <c r="M19" s="11" t="s">
        <v>78</v>
      </c>
      <c r="N19" s="11" t="s">
        <v>78</v>
      </c>
      <c r="O19" s="6">
        <f t="shared" si="0"/>
        <v>2748.3333333333335</v>
      </c>
      <c r="P19" s="9">
        <f>2748.33*B19</f>
        <v>109933.2</v>
      </c>
    </row>
    <row r="20" spans="1:16" ht="15.75">
      <c r="A20" s="4" t="s">
        <v>90</v>
      </c>
      <c r="B20" s="4">
        <v>34</v>
      </c>
      <c r="C20" s="4" t="s">
        <v>3</v>
      </c>
      <c r="D20" s="16" t="s">
        <v>16</v>
      </c>
      <c r="E20" s="7">
        <v>393.86</v>
      </c>
      <c r="F20" s="7">
        <v>439.91</v>
      </c>
      <c r="G20" s="11">
        <v>400</v>
      </c>
      <c r="H20" s="11" t="s">
        <v>78</v>
      </c>
      <c r="I20" s="11" t="s">
        <v>78</v>
      </c>
      <c r="J20" s="11" t="s">
        <v>78</v>
      </c>
      <c r="K20" s="11" t="s">
        <v>78</v>
      </c>
      <c r="L20" s="11" t="s">
        <v>78</v>
      </c>
      <c r="M20" s="11" t="s">
        <v>78</v>
      </c>
      <c r="N20" s="11" t="s">
        <v>78</v>
      </c>
      <c r="O20" s="6">
        <f t="shared" si="0"/>
        <v>411.25666666666666</v>
      </c>
      <c r="P20" s="9">
        <f>411.26*B20</f>
        <v>13982.84</v>
      </c>
    </row>
    <row r="21" spans="1:16" ht="26.25">
      <c r="A21" s="4" t="s">
        <v>91</v>
      </c>
      <c r="B21" s="4">
        <v>47</v>
      </c>
      <c r="C21" s="4" t="s">
        <v>3</v>
      </c>
      <c r="D21" s="15" t="s">
        <v>17</v>
      </c>
      <c r="E21" s="7">
        <v>820.09</v>
      </c>
      <c r="F21" s="7">
        <v>442.41</v>
      </c>
      <c r="G21" s="11">
        <v>1160</v>
      </c>
      <c r="H21" s="11" t="s">
        <v>78</v>
      </c>
      <c r="I21" s="11" t="s">
        <v>78</v>
      </c>
      <c r="J21" s="11" t="s">
        <v>78</v>
      </c>
      <c r="K21" s="11" t="s">
        <v>78</v>
      </c>
      <c r="L21" s="11" t="s">
        <v>78</v>
      </c>
      <c r="M21" s="11" t="s">
        <v>78</v>
      </c>
      <c r="N21" s="11" t="s">
        <v>78</v>
      </c>
      <c r="O21" s="6">
        <f t="shared" si="0"/>
        <v>807.5</v>
      </c>
      <c r="P21" s="9">
        <f>807.5*B21</f>
        <v>37952.5</v>
      </c>
    </row>
    <row r="22" spans="1:16" ht="27" customHeight="1">
      <c r="A22" s="4" t="s">
        <v>92</v>
      </c>
      <c r="B22" s="4">
        <v>96</v>
      </c>
      <c r="C22" s="4" t="s">
        <v>3</v>
      </c>
      <c r="D22" s="15" t="s">
        <v>61</v>
      </c>
      <c r="E22" s="7">
        <v>158.9</v>
      </c>
      <c r="F22" s="7">
        <v>17.04</v>
      </c>
      <c r="G22" s="11">
        <v>195</v>
      </c>
      <c r="H22" s="11" t="s">
        <v>78</v>
      </c>
      <c r="I22" s="11" t="s">
        <v>78</v>
      </c>
      <c r="J22" s="11" t="s">
        <v>78</v>
      </c>
      <c r="K22" s="11" t="s">
        <v>78</v>
      </c>
      <c r="L22" s="11" t="s">
        <v>78</v>
      </c>
      <c r="M22" s="11" t="s">
        <v>78</v>
      </c>
      <c r="N22" s="11" t="s">
        <v>78</v>
      </c>
      <c r="O22" s="6">
        <f t="shared" si="0"/>
        <v>123.64666666666666</v>
      </c>
      <c r="P22" s="9">
        <f>123.65*B22</f>
        <v>11870.400000000001</v>
      </c>
    </row>
    <row r="23" spans="1:16" ht="26.25">
      <c r="A23" s="4" t="s">
        <v>93</v>
      </c>
      <c r="B23" s="4">
        <v>12</v>
      </c>
      <c r="C23" s="4" t="s">
        <v>3</v>
      </c>
      <c r="D23" s="14" t="s">
        <v>62</v>
      </c>
      <c r="E23" s="7">
        <v>16548.16</v>
      </c>
      <c r="F23" s="7">
        <v>15835</v>
      </c>
      <c r="G23" s="11">
        <v>19000</v>
      </c>
      <c r="H23" s="11" t="s">
        <v>78</v>
      </c>
      <c r="I23" s="11" t="s">
        <v>78</v>
      </c>
      <c r="J23" s="11" t="s">
        <v>78</v>
      </c>
      <c r="K23" s="11" t="s">
        <v>78</v>
      </c>
      <c r="L23" s="11" t="s">
        <v>78</v>
      </c>
      <c r="M23" s="11" t="s">
        <v>78</v>
      </c>
      <c r="N23" s="11" t="s">
        <v>78</v>
      </c>
      <c r="O23" s="6">
        <f t="shared" si="0"/>
        <v>17127.72</v>
      </c>
      <c r="P23" s="9">
        <f>17127.72*B23</f>
        <v>205532.64</v>
      </c>
    </row>
    <row r="24" spans="1:16" ht="15.75">
      <c r="A24" s="4" t="s">
        <v>94</v>
      </c>
      <c r="B24" s="4">
        <v>12</v>
      </c>
      <c r="C24" s="4" t="s">
        <v>3</v>
      </c>
      <c r="D24" s="16" t="s">
        <v>18</v>
      </c>
      <c r="E24" s="7">
        <v>243.71</v>
      </c>
      <c r="F24" s="7">
        <v>340</v>
      </c>
      <c r="G24" s="11">
        <v>1160</v>
      </c>
      <c r="H24" s="11" t="s">
        <v>78</v>
      </c>
      <c r="I24" s="11" t="s">
        <v>78</v>
      </c>
      <c r="J24" s="11" t="s">
        <v>78</v>
      </c>
      <c r="K24" s="11" t="s">
        <v>78</v>
      </c>
      <c r="L24" s="11" t="s">
        <v>78</v>
      </c>
      <c r="M24" s="11" t="s">
        <v>78</v>
      </c>
      <c r="N24" s="11" t="s">
        <v>78</v>
      </c>
      <c r="O24" s="6">
        <f t="shared" si="0"/>
        <v>581.2366666666667</v>
      </c>
      <c r="P24" s="9">
        <f>581.24*B24</f>
        <v>6974.88</v>
      </c>
    </row>
    <row r="25" spans="1:16" ht="15.75">
      <c r="A25" s="4" t="s">
        <v>95</v>
      </c>
      <c r="B25" s="4">
        <v>12</v>
      </c>
      <c r="C25" s="4" t="s">
        <v>3</v>
      </c>
      <c r="D25" s="16" t="s">
        <v>19</v>
      </c>
      <c r="E25" s="7">
        <v>411.93</v>
      </c>
      <c r="F25" s="7">
        <v>118.5</v>
      </c>
      <c r="G25" s="11">
        <v>870</v>
      </c>
      <c r="H25" s="11" t="s">
        <v>78</v>
      </c>
      <c r="I25" s="11" t="s">
        <v>78</v>
      </c>
      <c r="J25" s="11" t="s">
        <v>78</v>
      </c>
      <c r="K25" s="11" t="s">
        <v>78</v>
      </c>
      <c r="L25" s="11" t="s">
        <v>78</v>
      </c>
      <c r="M25" s="11" t="s">
        <v>78</v>
      </c>
      <c r="N25" s="11" t="s">
        <v>78</v>
      </c>
      <c r="O25" s="6">
        <f t="shared" si="0"/>
        <v>466.81</v>
      </c>
      <c r="P25" s="9">
        <f>466.81*B25</f>
        <v>5601.72</v>
      </c>
    </row>
    <row r="26" spans="1:16" ht="77.25">
      <c r="A26" s="4" t="s">
        <v>96</v>
      </c>
      <c r="B26" s="4">
        <v>77</v>
      </c>
      <c r="C26" s="4" t="s">
        <v>3</v>
      </c>
      <c r="D26" s="14" t="s">
        <v>63</v>
      </c>
      <c r="E26" s="7">
        <v>8320.93</v>
      </c>
      <c r="F26" s="7">
        <v>5000</v>
      </c>
      <c r="G26" s="11">
        <v>3500</v>
      </c>
      <c r="H26" s="11" t="s">
        <v>78</v>
      </c>
      <c r="I26" s="11" t="s">
        <v>78</v>
      </c>
      <c r="J26" s="11" t="s">
        <v>78</v>
      </c>
      <c r="K26" s="11" t="s">
        <v>78</v>
      </c>
      <c r="L26" s="11" t="s">
        <v>78</v>
      </c>
      <c r="M26" s="11" t="s">
        <v>78</v>
      </c>
      <c r="N26" s="11" t="s">
        <v>78</v>
      </c>
      <c r="O26" s="6">
        <f t="shared" si="0"/>
        <v>5606.9766666666665</v>
      </c>
      <c r="P26" s="9">
        <f>5606.98*B26</f>
        <v>431737.45999999996</v>
      </c>
    </row>
    <row r="27" spans="1:16" ht="26.25">
      <c r="A27" s="4" t="s">
        <v>97</v>
      </c>
      <c r="B27" s="4">
        <v>153</v>
      </c>
      <c r="C27" s="4" t="s">
        <v>3</v>
      </c>
      <c r="D27" s="15" t="s">
        <v>64</v>
      </c>
      <c r="E27" s="7">
        <v>2313.3</v>
      </c>
      <c r="F27" s="7">
        <v>1430</v>
      </c>
      <c r="G27" s="11">
        <v>2800</v>
      </c>
      <c r="H27" s="11" t="s">
        <v>78</v>
      </c>
      <c r="I27" s="11" t="s">
        <v>78</v>
      </c>
      <c r="J27" s="11" t="s">
        <v>78</v>
      </c>
      <c r="K27" s="11" t="s">
        <v>78</v>
      </c>
      <c r="L27" s="11" t="s">
        <v>78</v>
      </c>
      <c r="M27" s="11" t="s">
        <v>78</v>
      </c>
      <c r="N27" s="11" t="s">
        <v>78</v>
      </c>
      <c r="O27" s="6">
        <f t="shared" si="0"/>
        <v>2181.1</v>
      </c>
      <c r="P27" s="9">
        <f>2181.1*B27</f>
        <v>333708.3</v>
      </c>
    </row>
    <row r="28" spans="1:16" ht="64.5">
      <c r="A28" s="4" t="s">
        <v>98</v>
      </c>
      <c r="B28" s="4">
        <v>148</v>
      </c>
      <c r="C28" s="4" t="s">
        <v>3</v>
      </c>
      <c r="D28" s="15" t="s">
        <v>65</v>
      </c>
      <c r="E28" s="7">
        <v>3439.73</v>
      </c>
      <c r="F28" s="7">
        <v>2900</v>
      </c>
      <c r="G28" s="7">
        <v>3450</v>
      </c>
      <c r="H28" s="7" t="s">
        <v>78</v>
      </c>
      <c r="I28" s="7" t="s">
        <v>78</v>
      </c>
      <c r="J28" s="7" t="s">
        <v>78</v>
      </c>
      <c r="K28" s="7" t="s">
        <v>78</v>
      </c>
      <c r="L28" s="7" t="s">
        <v>78</v>
      </c>
      <c r="M28" s="7" t="s">
        <v>78</v>
      </c>
      <c r="N28" s="7" t="s">
        <v>78</v>
      </c>
      <c r="O28" s="6">
        <f t="shared" si="0"/>
        <v>3263.2433333333333</v>
      </c>
      <c r="P28" s="9">
        <f>3263.24*B28</f>
        <v>482959.51999999996</v>
      </c>
    </row>
    <row r="29" spans="1:16" ht="77.25">
      <c r="A29" s="4" t="s">
        <v>99</v>
      </c>
      <c r="B29" s="4">
        <v>20</v>
      </c>
      <c r="C29" s="4" t="s">
        <v>3</v>
      </c>
      <c r="D29" s="15" t="s">
        <v>66</v>
      </c>
      <c r="E29" s="7">
        <v>3752.44</v>
      </c>
      <c r="F29" s="7">
        <v>1529.86</v>
      </c>
      <c r="G29" s="11">
        <v>3450</v>
      </c>
      <c r="H29" s="11" t="s">
        <v>78</v>
      </c>
      <c r="I29" s="11" t="s">
        <v>78</v>
      </c>
      <c r="J29" s="11" t="s">
        <v>78</v>
      </c>
      <c r="K29" s="11" t="s">
        <v>78</v>
      </c>
      <c r="L29" s="11" t="s">
        <v>78</v>
      </c>
      <c r="M29" s="11" t="s">
        <v>78</v>
      </c>
      <c r="N29" s="11" t="s">
        <v>78</v>
      </c>
      <c r="O29" s="6">
        <f t="shared" si="0"/>
        <v>2910.7666666666664</v>
      </c>
      <c r="P29" s="9">
        <f>2910.77*B29</f>
        <v>58215.4</v>
      </c>
    </row>
    <row r="30" spans="1:16" ht="51.75">
      <c r="A30" s="4" t="s">
        <v>100</v>
      </c>
      <c r="B30" s="4">
        <v>240</v>
      </c>
      <c r="C30" s="4" t="s">
        <v>3</v>
      </c>
      <c r="D30" s="14" t="s">
        <v>20</v>
      </c>
      <c r="E30" s="7">
        <v>2469.95</v>
      </c>
      <c r="F30" s="7">
        <v>2097.03</v>
      </c>
      <c r="G30" s="11">
        <v>3200</v>
      </c>
      <c r="H30" s="11" t="s">
        <v>78</v>
      </c>
      <c r="I30" s="11" t="s">
        <v>78</v>
      </c>
      <c r="J30" s="11" t="s">
        <v>78</v>
      </c>
      <c r="K30" s="11" t="s">
        <v>78</v>
      </c>
      <c r="L30" s="11" t="s">
        <v>78</v>
      </c>
      <c r="M30" s="11" t="s">
        <v>78</v>
      </c>
      <c r="N30" s="11" t="s">
        <v>78</v>
      </c>
      <c r="O30" s="6">
        <f t="shared" si="0"/>
        <v>2588.9933333333333</v>
      </c>
      <c r="P30" s="9">
        <f>2588.99*B30</f>
        <v>621357.6</v>
      </c>
    </row>
    <row r="31" spans="1:16" ht="26.25">
      <c r="A31" s="4" t="s">
        <v>101</v>
      </c>
      <c r="B31" s="4">
        <v>82</v>
      </c>
      <c r="C31" s="4" t="s">
        <v>3</v>
      </c>
      <c r="D31" s="15" t="s">
        <v>21</v>
      </c>
      <c r="E31" s="7">
        <v>234.66</v>
      </c>
      <c r="F31" s="7">
        <v>246.11</v>
      </c>
      <c r="G31" s="11">
        <v>380</v>
      </c>
      <c r="H31" s="11" t="s">
        <v>78</v>
      </c>
      <c r="I31" s="11" t="s">
        <v>78</v>
      </c>
      <c r="J31" s="11" t="s">
        <v>78</v>
      </c>
      <c r="K31" s="11" t="s">
        <v>78</v>
      </c>
      <c r="L31" s="11" t="s">
        <v>78</v>
      </c>
      <c r="M31" s="11" t="s">
        <v>78</v>
      </c>
      <c r="N31" s="11" t="s">
        <v>78</v>
      </c>
      <c r="O31" s="6">
        <f t="shared" si="0"/>
        <v>286.92333333333335</v>
      </c>
      <c r="P31" s="9">
        <f>286.92*B31</f>
        <v>23527.440000000002</v>
      </c>
    </row>
    <row r="32" spans="1:16" ht="77.25">
      <c r="A32" s="4" t="s">
        <v>102</v>
      </c>
      <c r="B32" s="4">
        <v>240</v>
      </c>
      <c r="C32" s="4" t="s">
        <v>53</v>
      </c>
      <c r="D32" s="15" t="s">
        <v>67</v>
      </c>
      <c r="E32" s="7">
        <v>673</v>
      </c>
      <c r="F32" s="7">
        <v>194.37</v>
      </c>
      <c r="G32" s="11">
        <v>760</v>
      </c>
      <c r="H32" s="11" t="s">
        <v>78</v>
      </c>
      <c r="I32" s="11" t="s">
        <v>78</v>
      </c>
      <c r="J32" s="11" t="s">
        <v>78</v>
      </c>
      <c r="K32" s="11" t="s">
        <v>78</v>
      </c>
      <c r="L32" s="11" t="s">
        <v>78</v>
      </c>
      <c r="M32" s="11" t="s">
        <v>78</v>
      </c>
      <c r="N32" s="11" t="s">
        <v>78</v>
      </c>
      <c r="O32" s="6">
        <f t="shared" si="0"/>
        <v>542.4566666666666</v>
      </c>
      <c r="P32" s="9">
        <f>542.46*B32</f>
        <v>130190.40000000001</v>
      </c>
    </row>
    <row r="33" spans="1:16" ht="26.25">
      <c r="A33" s="4" t="s">
        <v>103</v>
      </c>
      <c r="B33" s="4">
        <v>158</v>
      </c>
      <c r="C33" s="4" t="s">
        <v>53</v>
      </c>
      <c r="D33" s="14" t="s">
        <v>68</v>
      </c>
      <c r="E33" s="7">
        <v>192.98</v>
      </c>
      <c r="F33" s="7">
        <v>50.88</v>
      </c>
      <c r="G33" s="11">
        <v>380</v>
      </c>
      <c r="H33" s="11" t="s">
        <v>78</v>
      </c>
      <c r="I33" s="11" t="s">
        <v>78</v>
      </c>
      <c r="J33" s="11" t="s">
        <v>78</v>
      </c>
      <c r="K33" s="11" t="s">
        <v>78</v>
      </c>
      <c r="L33" s="11" t="s">
        <v>78</v>
      </c>
      <c r="M33" s="11" t="s">
        <v>78</v>
      </c>
      <c r="N33" s="11" t="s">
        <v>78</v>
      </c>
      <c r="O33" s="6">
        <f t="shared" si="0"/>
        <v>207.95333333333335</v>
      </c>
      <c r="P33" s="9">
        <f>207.95*B33</f>
        <v>32856.1</v>
      </c>
    </row>
    <row r="34" spans="1:16" ht="26.25">
      <c r="A34" s="4" t="s">
        <v>104</v>
      </c>
      <c r="B34" s="4">
        <v>5000</v>
      </c>
      <c r="C34" s="4" t="s">
        <v>53</v>
      </c>
      <c r="D34" s="15" t="s">
        <v>69</v>
      </c>
      <c r="E34" s="7">
        <v>5.55</v>
      </c>
      <c r="F34" s="7">
        <v>2.97</v>
      </c>
      <c r="G34" s="11">
        <v>7</v>
      </c>
      <c r="H34" s="11" t="s">
        <v>78</v>
      </c>
      <c r="I34" s="11" t="s">
        <v>78</v>
      </c>
      <c r="J34" s="11" t="s">
        <v>78</v>
      </c>
      <c r="K34" s="11" t="s">
        <v>78</v>
      </c>
      <c r="L34" s="11" t="s">
        <v>78</v>
      </c>
      <c r="M34" s="11" t="s">
        <v>78</v>
      </c>
      <c r="N34" s="11" t="s">
        <v>78</v>
      </c>
      <c r="O34" s="6">
        <f t="shared" si="0"/>
        <v>5.173333333333333</v>
      </c>
      <c r="P34" s="9">
        <f>5.17*B34</f>
        <v>25850</v>
      </c>
    </row>
    <row r="35" spans="1:16" ht="26.25">
      <c r="A35" s="4" t="s">
        <v>105</v>
      </c>
      <c r="B35" s="4">
        <v>10000</v>
      </c>
      <c r="C35" s="4" t="s">
        <v>53</v>
      </c>
      <c r="D35" s="15" t="s">
        <v>70</v>
      </c>
      <c r="E35" s="7">
        <v>6.26</v>
      </c>
      <c r="F35" s="7">
        <v>6.93</v>
      </c>
      <c r="G35" s="11">
        <v>8</v>
      </c>
      <c r="H35" s="11" t="s">
        <v>78</v>
      </c>
      <c r="I35" s="11" t="s">
        <v>78</v>
      </c>
      <c r="J35" s="11" t="s">
        <v>78</v>
      </c>
      <c r="K35" s="11" t="s">
        <v>78</v>
      </c>
      <c r="L35" s="11" t="s">
        <v>78</v>
      </c>
      <c r="M35" s="11" t="s">
        <v>78</v>
      </c>
      <c r="N35" s="11" t="s">
        <v>78</v>
      </c>
      <c r="O35" s="6">
        <f t="shared" si="0"/>
        <v>7.063333333333333</v>
      </c>
      <c r="P35" s="9">
        <f>7.06*B35</f>
        <v>70600</v>
      </c>
    </row>
    <row r="36" spans="1:16" ht="26.25">
      <c r="A36" s="4" t="s">
        <v>106</v>
      </c>
      <c r="B36" s="4">
        <v>10000</v>
      </c>
      <c r="C36" s="4" t="s">
        <v>53</v>
      </c>
      <c r="D36" s="15" t="s">
        <v>71</v>
      </c>
      <c r="E36" s="7">
        <v>8.16</v>
      </c>
      <c r="F36" s="7">
        <v>11.68</v>
      </c>
      <c r="G36" s="11">
        <v>9</v>
      </c>
      <c r="H36" s="11" t="s">
        <v>78</v>
      </c>
      <c r="I36" s="11" t="s">
        <v>78</v>
      </c>
      <c r="J36" s="11" t="s">
        <v>78</v>
      </c>
      <c r="K36" s="11" t="s">
        <v>78</v>
      </c>
      <c r="L36" s="11" t="s">
        <v>78</v>
      </c>
      <c r="M36" s="11" t="s">
        <v>78</v>
      </c>
      <c r="N36" s="11" t="s">
        <v>78</v>
      </c>
      <c r="O36" s="6">
        <f t="shared" si="0"/>
        <v>9.613333333333333</v>
      </c>
      <c r="P36" s="9">
        <f>9.61*B36</f>
        <v>96100</v>
      </c>
    </row>
    <row r="37" spans="1:16" ht="26.25">
      <c r="A37" s="4" t="s">
        <v>107</v>
      </c>
      <c r="B37" s="4">
        <v>2000</v>
      </c>
      <c r="C37" s="4" t="s">
        <v>53</v>
      </c>
      <c r="D37" s="15" t="s">
        <v>22</v>
      </c>
      <c r="E37" s="7">
        <v>14.67</v>
      </c>
      <c r="F37" s="7">
        <v>13.05</v>
      </c>
      <c r="G37" s="11">
        <v>12</v>
      </c>
      <c r="H37" s="11" t="s">
        <v>78</v>
      </c>
      <c r="I37" s="11" t="s">
        <v>78</v>
      </c>
      <c r="J37" s="11" t="s">
        <v>78</v>
      </c>
      <c r="K37" s="11" t="s">
        <v>78</v>
      </c>
      <c r="L37" s="11" t="s">
        <v>78</v>
      </c>
      <c r="M37" s="11" t="s">
        <v>78</v>
      </c>
      <c r="N37" s="11" t="s">
        <v>78</v>
      </c>
      <c r="O37" s="6">
        <f t="shared" si="0"/>
        <v>13.24</v>
      </c>
      <c r="P37" s="9">
        <f>13.24*B37</f>
        <v>26480</v>
      </c>
    </row>
    <row r="38" spans="1:16" ht="15.75">
      <c r="A38" s="4" t="s">
        <v>108</v>
      </c>
      <c r="B38" s="4">
        <v>3000</v>
      </c>
      <c r="C38" s="4" t="s">
        <v>53</v>
      </c>
      <c r="D38" s="16" t="s">
        <v>23</v>
      </c>
      <c r="E38" s="7">
        <v>10.4</v>
      </c>
      <c r="F38" s="7">
        <v>7.69</v>
      </c>
      <c r="G38" s="11">
        <v>13</v>
      </c>
      <c r="H38" s="11" t="s">
        <v>78</v>
      </c>
      <c r="I38" s="11" t="s">
        <v>78</v>
      </c>
      <c r="J38" s="11" t="s">
        <v>78</v>
      </c>
      <c r="K38" s="11" t="s">
        <v>78</v>
      </c>
      <c r="L38" s="11" t="s">
        <v>78</v>
      </c>
      <c r="M38" s="11" t="s">
        <v>78</v>
      </c>
      <c r="N38" s="11" t="s">
        <v>78</v>
      </c>
      <c r="O38" s="6">
        <f t="shared" si="0"/>
        <v>10.363333333333333</v>
      </c>
      <c r="P38" s="9">
        <f>10.36*B38</f>
        <v>31080</v>
      </c>
    </row>
    <row r="39" spans="1:16" ht="39">
      <c r="A39" s="4" t="s">
        <v>109</v>
      </c>
      <c r="B39" s="4">
        <v>91</v>
      </c>
      <c r="C39" s="4" t="s">
        <v>3</v>
      </c>
      <c r="D39" s="15" t="s">
        <v>24</v>
      </c>
      <c r="E39" s="7">
        <v>410.55</v>
      </c>
      <c r="F39" s="7">
        <v>225.42</v>
      </c>
      <c r="G39" s="11">
        <v>340</v>
      </c>
      <c r="H39" s="11" t="s">
        <v>78</v>
      </c>
      <c r="I39" s="11" t="s">
        <v>78</v>
      </c>
      <c r="J39" s="11" t="s">
        <v>78</v>
      </c>
      <c r="K39" s="11" t="s">
        <v>78</v>
      </c>
      <c r="L39" s="11" t="s">
        <v>78</v>
      </c>
      <c r="M39" s="11" t="s">
        <v>78</v>
      </c>
      <c r="N39" s="11" t="s">
        <v>78</v>
      </c>
      <c r="O39" s="6">
        <f t="shared" si="0"/>
        <v>325.3233333333333</v>
      </c>
      <c r="P39" s="9">
        <f>325.32*B39</f>
        <v>29604.12</v>
      </c>
    </row>
    <row r="40" spans="1:16" ht="26.25">
      <c r="A40" s="4" t="s">
        <v>110</v>
      </c>
      <c r="B40" s="4">
        <v>12</v>
      </c>
      <c r="C40" s="4" t="s">
        <v>3</v>
      </c>
      <c r="D40" s="14" t="s">
        <v>25</v>
      </c>
      <c r="E40" s="7">
        <v>20424.96</v>
      </c>
      <c r="F40" s="7">
        <v>18850</v>
      </c>
      <c r="G40" s="11">
        <v>23000</v>
      </c>
      <c r="H40" s="11" t="s">
        <v>78</v>
      </c>
      <c r="I40" s="11" t="s">
        <v>78</v>
      </c>
      <c r="J40" s="11" t="s">
        <v>78</v>
      </c>
      <c r="K40" s="11" t="s">
        <v>78</v>
      </c>
      <c r="L40" s="11" t="s">
        <v>78</v>
      </c>
      <c r="M40" s="11" t="s">
        <v>78</v>
      </c>
      <c r="N40" s="11" t="s">
        <v>78</v>
      </c>
      <c r="O40" s="6">
        <f t="shared" si="0"/>
        <v>20758.32</v>
      </c>
      <c r="P40" s="9">
        <f>20758.32*B40</f>
        <v>249099.84</v>
      </c>
    </row>
    <row r="41" spans="1:16" ht="15.75">
      <c r="A41" s="4" t="s">
        <v>111</v>
      </c>
      <c r="B41" s="4">
        <v>35</v>
      </c>
      <c r="C41" s="4" t="s">
        <v>3</v>
      </c>
      <c r="D41" s="16" t="s">
        <v>72</v>
      </c>
      <c r="E41" s="7">
        <v>2660</v>
      </c>
      <c r="F41" s="7">
        <v>267.5</v>
      </c>
      <c r="G41" s="11">
        <v>1670</v>
      </c>
      <c r="H41" s="11" t="s">
        <v>78</v>
      </c>
      <c r="I41" s="11" t="s">
        <v>78</v>
      </c>
      <c r="J41" s="11" t="s">
        <v>78</v>
      </c>
      <c r="K41" s="11" t="s">
        <v>78</v>
      </c>
      <c r="L41" s="11" t="s">
        <v>78</v>
      </c>
      <c r="M41" s="11" t="s">
        <v>78</v>
      </c>
      <c r="N41" s="11" t="s">
        <v>78</v>
      </c>
      <c r="O41" s="6">
        <f t="shared" si="0"/>
        <v>1532.5</v>
      </c>
      <c r="P41" s="9">
        <f>1532.5*B41</f>
        <v>53637.5</v>
      </c>
    </row>
    <row r="42" spans="1:16" ht="26.25">
      <c r="A42" s="4" t="s">
        <v>112</v>
      </c>
      <c r="B42" s="4">
        <v>47</v>
      </c>
      <c r="C42" s="4" t="s">
        <v>3</v>
      </c>
      <c r="D42" s="15" t="s">
        <v>26</v>
      </c>
      <c r="E42" s="7">
        <v>200.6</v>
      </c>
      <c r="F42" s="7">
        <v>152.25</v>
      </c>
      <c r="G42" s="11">
        <v>120</v>
      </c>
      <c r="H42" s="11" t="s">
        <v>78</v>
      </c>
      <c r="I42" s="11" t="s">
        <v>78</v>
      </c>
      <c r="J42" s="11" t="s">
        <v>78</v>
      </c>
      <c r="K42" s="11" t="s">
        <v>78</v>
      </c>
      <c r="L42" s="11" t="s">
        <v>78</v>
      </c>
      <c r="M42" s="11" t="s">
        <v>78</v>
      </c>
      <c r="N42" s="11" t="s">
        <v>78</v>
      </c>
      <c r="O42" s="6">
        <f t="shared" si="0"/>
        <v>157.61666666666667</v>
      </c>
      <c r="P42" s="9">
        <f>157.62*B42</f>
        <v>7408.14</v>
      </c>
    </row>
    <row r="43" spans="1:16" ht="26.25">
      <c r="A43" s="4" t="s">
        <v>113</v>
      </c>
      <c r="B43" s="4">
        <v>35</v>
      </c>
      <c r="C43" s="4" t="s">
        <v>3</v>
      </c>
      <c r="D43" s="15" t="s">
        <v>27</v>
      </c>
      <c r="E43" s="7">
        <v>215.6</v>
      </c>
      <c r="F43" s="7">
        <v>175.27</v>
      </c>
      <c r="G43" s="11">
        <v>130</v>
      </c>
      <c r="H43" s="11" t="s">
        <v>78</v>
      </c>
      <c r="I43" s="11" t="s">
        <v>78</v>
      </c>
      <c r="J43" s="11" t="s">
        <v>78</v>
      </c>
      <c r="K43" s="11" t="s">
        <v>78</v>
      </c>
      <c r="L43" s="11" t="s">
        <v>78</v>
      </c>
      <c r="M43" s="11" t="s">
        <v>78</v>
      </c>
      <c r="N43" s="11" t="s">
        <v>78</v>
      </c>
      <c r="O43" s="6">
        <f t="shared" si="0"/>
        <v>173.62333333333333</v>
      </c>
      <c r="P43" s="9">
        <f>173.62*B43</f>
        <v>6076.7</v>
      </c>
    </row>
    <row r="44" spans="1:16" ht="26.25">
      <c r="A44" s="4" t="s">
        <v>114</v>
      </c>
      <c r="B44" s="4">
        <v>1</v>
      </c>
      <c r="C44" s="4" t="s">
        <v>3</v>
      </c>
      <c r="D44" s="15" t="s">
        <v>28</v>
      </c>
      <c r="E44" s="7">
        <v>32520.66</v>
      </c>
      <c r="F44" s="7">
        <v>28600</v>
      </c>
      <c r="G44" s="11">
        <v>32000</v>
      </c>
      <c r="H44" s="11" t="s">
        <v>78</v>
      </c>
      <c r="I44" s="11" t="s">
        <v>78</v>
      </c>
      <c r="J44" s="11" t="s">
        <v>78</v>
      </c>
      <c r="K44" s="11" t="s">
        <v>78</v>
      </c>
      <c r="L44" s="11" t="s">
        <v>78</v>
      </c>
      <c r="M44" s="11" t="s">
        <v>78</v>
      </c>
      <c r="N44" s="11" t="s">
        <v>78</v>
      </c>
      <c r="O44" s="6">
        <f t="shared" si="0"/>
        <v>31040.22</v>
      </c>
      <c r="P44" s="9">
        <f>31040.22*B44</f>
        <v>31040.22</v>
      </c>
    </row>
    <row r="45" spans="1:16" ht="15.75">
      <c r="A45" s="4" t="s">
        <v>115</v>
      </c>
      <c r="B45" s="4">
        <v>3</v>
      </c>
      <c r="C45" s="4" t="s">
        <v>3</v>
      </c>
      <c r="D45" s="16" t="s">
        <v>29</v>
      </c>
      <c r="E45" s="7">
        <v>9514.37</v>
      </c>
      <c r="F45" s="7">
        <v>8800</v>
      </c>
      <c r="G45" s="11">
        <v>9700</v>
      </c>
      <c r="H45" s="11" t="s">
        <v>78</v>
      </c>
      <c r="I45" s="11" t="s">
        <v>78</v>
      </c>
      <c r="J45" s="11" t="s">
        <v>78</v>
      </c>
      <c r="K45" s="11" t="s">
        <v>78</v>
      </c>
      <c r="L45" s="11" t="s">
        <v>78</v>
      </c>
      <c r="M45" s="11" t="s">
        <v>78</v>
      </c>
      <c r="N45" s="11" t="s">
        <v>78</v>
      </c>
      <c r="O45" s="6">
        <f t="shared" si="0"/>
        <v>9338.123333333335</v>
      </c>
      <c r="P45" s="9">
        <f>9338.12*B45</f>
        <v>28014.36</v>
      </c>
    </row>
    <row r="46" spans="1:16" ht="15.75">
      <c r="A46" s="4" t="s">
        <v>116</v>
      </c>
      <c r="B46" s="4">
        <v>1</v>
      </c>
      <c r="C46" s="4" t="s">
        <v>3</v>
      </c>
      <c r="D46" s="16" t="s">
        <v>30</v>
      </c>
      <c r="E46" s="7">
        <v>20200.12</v>
      </c>
      <c r="F46" s="7">
        <v>17600</v>
      </c>
      <c r="G46" s="11">
        <v>23000</v>
      </c>
      <c r="H46" s="11" t="s">
        <v>78</v>
      </c>
      <c r="I46" s="11" t="s">
        <v>78</v>
      </c>
      <c r="J46" s="11" t="s">
        <v>78</v>
      </c>
      <c r="K46" s="11" t="s">
        <v>78</v>
      </c>
      <c r="L46" s="11" t="s">
        <v>78</v>
      </c>
      <c r="M46" s="11" t="s">
        <v>78</v>
      </c>
      <c r="N46" s="11" t="s">
        <v>78</v>
      </c>
      <c r="O46" s="6">
        <f t="shared" si="0"/>
        <v>20266.706666666665</v>
      </c>
      <c r="P46" s="9">
        <f>20266.71*B46</f>
        <v>20266.71</v>
      </c>
    </row>
    <row r="47" spans="1:16" ht="15.75">
      <c r="A47" s="4" t="s">
        <v>117</v>
      </c>
      <c r="B47" s="4">
        <v>150</v>
      </c>
      <c r="C47" s="4" t="s">
        <v>53</v>
      </c>
      <c r="D47" s="16" t="s">
        <v>31</v>
      </c>
      <c r="E47" s="7">
        <v>5.53</v>
      </c>
      <c r="F47" s="7">
        <v>4.55</v>
      </c>
      <c r="G47" s="11">
        <v>3</v>
      </c>
      <c r="H47" s="11" t="s">
        <v>78</v>
      </c>
      <c r="I47" s="11" t="s">
        <v>78</v>
      </c>
      <c r="J47" s="11" t="s">
        <v>78</v>
      </c>
      <c r="K47" s="11" t="s">
        <v>78</v>
      </c>
      <c r="L47" s="11" t="s">
        <v>78</v>
      </c>
      <c r="M47" s="11" t="s">
        <v>78</v>
      </c>
      <c r="N47" s="11" t="s">
        <v>78</v>
      </c>
      <c r="O47" s="6">
        <f t="shared" si="0"/>
        <v>4.36</v>
      </c>
      <c r="P47" s="9">
        <f>4.36*B47</f>
        <v>654</v>
      </c>
    </row>
    <row r="48" spans="1:16" ht="15.75">
      <c r="A48" s="4" t="s">
        <v>118</v>
      </c>
      <c r="B48" s="4">
        <v>250</v>
      </c>
      <c r="C48" s="4" t="s">
        <v>53</v>
      </c>
      <c r="D48" s="16" t="s">
        <v>32</v>
      </c>
      <c r="E48" s="7">
        <v>4.46</v>
      </c>
      <c r="F48" s="7">
        <v>3.3</v>
      </c>
      <c r="G48" s="11">
        <v>6</v>
      </c>
      <c r="H48" s="11" t="s">
        <v>78</v>
      </c>
      <c r="I48" s="11" t="s">
        <v>78</v>
      </c>
      <c r="J48" s="11" t="s">
        <v>78</v>
      </c>
      <c r="K48" s="11" t="s">
        <v>78</v>
      </c>
      <c r="L48" s="11" t="s">
        <v>78</v>
      </c>
      <c r="M48" s="11" t="s">
        <v>78</v>
      </c>
      <c r="N48" s="11" t="s">
        <v>78</v>
      </c>
      <c r="O48" s="6">
        <f t="shared" si="0"/>
        <v>4.586666666666667</v>
      </c>
      <c r="P48" s="9">
        <f>4.59*B48</f>
        <v>1147.5</v>
      </c>
    </row>
    <row r="49" spans="1:16" ht="15.75">
      <c r="A49" s="4" t="s">
        <v>119</v>
      </c>
      <c r="B49" s="4">
        <v>1</v>
      </c>
      <c r="C49" s="4" t="s">
        <v>3</v>
      </c>
      <c r="D49" s="16" t="s">
        <v>33</v>
      </c>
      <c r="E49" s="7">
        <v>5116.86</v>
      </c>
      <c r="F49" s="7">
        <v>4400</v>
      </c>
      <c r="G49" s="11">
        <v>14000</v>
      </c>
      <c r="H49" s="11" t="s">
        <v>78</v>
      </c>
      <c r="I49" s="11" t="s">
        <v>78</v>
      </c>
      <c r="J49" s="11" t="s">
        <v>78</v>
      </c>
      <c r="K49" s="11" t="s">
        <v>78</v>
      </c>
      <c r="L49" s="11" t="s">
        <v>78</v>
      </c>
      <c r="M49" s="11" t="s">
        <v>78</v>
      </c>
      <c r="N49" s="11" t="s">
        <v>78</v>
      </c>
      <c r="O49" s="6">
        <f t="shared" si="0"/>
        <v>7838.953333333334</v>
      </c>
      <c r="P49" s="9">
        <f>7838.95*B49</f>
        <v>7838.95</v>
      </c>
    </row>
    <row r="50" spans="1:16" ht="15.75">
      <c r="A50" s="4" t="s">
        <v>120</v>
      </c>
      <c r="B50" s="4">
        <v>1</v>
      </c>
      <c r="C50" s="4" t="s">
        <v>3</v>
      </c>
      <c r="D50" s="16" t="s">
        <v>34</v>
      </c>
      <c r="E50" s="7">
        <v>1720.51</v>
      </c>
      <c r="F50" s="7">
        <v>1320</v>
      </c>
      <c r="G50" s="11">
        <v>1300</v>
      </c>
      <c r="H50" s="11" t="s">
        <v>78</v>
      </c>
      <c r="I50" s="11" t="s">
        <v>78</v>
      </c>
      <c r="J50" s="11" t="s">
        <v>78</v>
      </c>
      <c r="K50" s="11" t="s">
        <v>78</v>
      </c>
      <c r="L50" s="11" t="s">
        <v>78</v>
      </c>
      <c r="M50" s="11" t="s">
        <v>78</v>
      </c>
      <c r="N50" s="11" t="s">
        <v>78</v>
      </c>
      <c r="O50" s="6">
        <f t="shared" si="0"/>
        <v>1446.8366666666668</v>
      </c>
      <c r="P50" s="9">
        <f>1446.84*B50</f>
        <v>1446.84</v>
      </c>
    </row>
    <row r="51" spans="1:16" ht="51.75">
      <c r="A51" s="4" t="s">
        <v>121</v>
      </c>
      <c r="B51" s="4">
        <v>12</v>
      </c>
      <c r="C51" s="4" t="s">
        <v>52</v>
      </c>
      <c r="D51" s="15" t="s">
        <v>35</v>
      </c>
      <c r="E51" s="7">
        <v>62987.28</v>
      </c>
      <c r="F51" s="7">
        <v>43333.33</v>
      </c>
      <c r="G51" s="11">
        <v>31000</v>
      </c>
      <c r="H51" s="11" t="s">
        <v>78</v>
      </c>
      <c r="I51" s="11" t="s">
        <v>78</v>
      </c>
      <c r="J51" s="11" t="s">
        <v>78</v>
      </c>
      <c r="K51" s="11" t="s">
        <v>78</v>
      </c>
      <c r="L51" s="11" t="s">
        <v>78</v>
      </c>
      <c r="M51" s="11" t="s">
        <v>78</v>
      </c>
      <c r="N51" s="11" t="s">
        <v>78</v>
      </c>
      <c r="O51" s="6">
        <f t="shared" si="0"/>
        <v>45773.53666666666</v>
      </c>
      <c r="P51" s="9">
        <f>45773.54*B51</f>
        <v>549282.48</v>
      </c>
    </row>
    <row r="52" spans="1:16" ht="39">
      <c r="A52" s="4" t="s">
        <v>122</v>
      </c>
      <c r="B52" s="4">
        <v>35</v>
      </c>
      <c r="C52" s="4" t="s">
        <v>52</v>
      </c>
      <c r="D52" s="15" t="s">
        <v>36</v>
      </c>
      <c r="E52" s="7">
        <v>8409.4</v>
      </c>
      <c r="F52" s="7">
        <v>1564.52</v>
      </c>
      <c r="G52" s="11">
        <v>6500</v>
      </c>
      <c r="H52" s="11" t="s">
        <v>78</v>
      </c>
      <c r="I52" s="11" t="s">
        <v>78</v>
      </c>
      <c r="J52" s="11" t="s">
        <v>78</v>
      </c>
      <c r="K52" s="11" t="s">
        <v>78</v>
      </c>
      <c r="L52" s="11" t="s">
        <v>78</v>
      </c>
      <c r="M52" s="11" t="s">
        <v>78</v>
      </c>
      <c r="N52" s="11" t="s">
        <v>78</v>
      </c>
      <c r="O52" s="6">
        <f t="shared" si="0"/>
        <v>5491.306666666666</v>
      </c>
      <c r="P52" s="9">
        <f>5491.31*B52</f>
        <v>192195.85</v>
      </c>
    </row>
    <row r="53" spans="1:16" ht="15.75">
      <c r="A53" s="4" t="s">
        <v>123</v>
      </c>
      <c r="B53" s="4">
        <v>12</v>
      </c>
      <c r="C53" s="4" t="s">
        <v>73</v>
      </c>
      <c r="D53" s="16" t="s">
        <v>37</v>
      </c>
      <c r="E53" s="7">
        <v>5388.05</v>
      </c>
      <c r="F53" s="7">
        <v>4500</v>
      </c>
      <c r="G53" s="7">
        <v>40000</v>
      </c>
      <c r="H53" s="7" t="s">
        <v>78</v>
      </c>
      <c r="I53" s="7" t="s">
        <v>78</v>
      </c>
      <c r="J53" s="7" t="s">
        <v>78</v>
      </c>
      <c r="K53" s="7" t="s">
        <v>78</v>
      </c>
      <c r="L53" s="7" t="s">
        <v>78</v>
      </c>
      <c r="M53" s="7" t="s">
        <v>78</v>
      </c>
      <c r="N53" s="7" t="s">
        <v>78</v>
      </c>
      <c r="O53" s="6">
        <f t="shared" si="0"/>
        <v>16629.350000000002</v>
      </c>
      <c r="P53" s="9">
        <f>16629.35*B53</f>
        <v>199552.19999999998</v>
      </c>
    </row>
    <row r="54" spans="1:16" ht="26.25">
      <c r="A54" s="4" t="s">
        <v>124</v>
      </c>
      <c r="B54" s="4">
        <v>47</v>
      </c>
      <c r="C54" s="18" t="s">
        <v>74</v>
      </c>
      <c r="D54" s="15" t="s">
        <v>38</v>
      </c>
      <c r="E54" s="7">
        <v>528.71</v>
      </c>
      <c r="F54" s="7">
        <v>450</v>
      </c>
      <c r="G54" s="11">
        <v>900</v>
      </c>
      <c r="H54" s="11" t="s">
        <v>78</v>
      </c>
      <c r="I54" s="11" t="s">
        <v>78</v>
      </c>
      <c r="J54" s="11" t="s">
        <v>78</v>
      </c>
      <c r="K54" s="11" t="s">
        <v>78</v>
      </c>
      <c r="L54" s="11" t="s">
        <v>78</v>
      </c>
      <c r="M54" s="11" t="s">
        <v>78</v>
      </c>
      <c r="N54" s="11" t="s">
        <v>78</v>
      </c>
      <c r="O54" s="6">
        <f t="shared" si="0"/>
        <v>626.2366666666667</v>
      </c>
      <c r="P54" s="9">
        <f>626.24*B54</f>
        <v>29433.28</v>
      </c>
    </row>
    <row r="55" spans="1:16" ht="15.75">
      <c r="A55" s="4" t="s">
        <v>125</v>
      </c>
      <c r="B55" s="4">
        <v>1</v>
      </c>
      <c r="C55" s="4" t="s">
        <v>75</v>
      </c>
      <c r="D55" s="16" t="s">
        <v>39</v>
      </c>
      <c r="E55" s="7">
        <v>1420.18</v>
      </c>
      <c r="F55" s="7">
        <v>1250</v>
      </c>
      <c r="G55" s="11">
        <v>700</v>
      </c>
      <c r="H55" s="11" t="s">
        <v>78</v>
      </c>
      <c r="I55" s="11" t="s">
        <v>78</v>
      </c>
      <c r="J55" s="11" t="s">
        <v>78</v>
      </c>
      <c r="K55" s="11" t="s">
        <v>78</v>
      </c>
      <c r="L55" s="11" t="s">
        <v>78</v>
      </c>
      <c r="M55" s="11" t="s">
        <v>78</v>
      </c>
      <c r="N55" s="11" t="s">
        <v>78</v>
      </c>
      <c r="O55" s="6">
        <f t="shared" si="0"/>
        <v>1123.3933333333334</v>
      </c>
      <c r="P55" s="9">
        <f>1123.39*B55</f>
        <v>1123.39</v>
      </c>
    </row>
    <row r="56" spans="1:16" ht="15.75">
      <c r="A56" s="4" t="s">
        <v>126</v>
      </c>
      <c r="B56" s="4">
        <v>1</v>
      </c>
      <c r="C56" s="4" t="s">
        <v>75</v>
      </c>
      <c r="D56" s="16" t="s">
        <v>40</v>
      </c>
      <c r="E56" s="7">
        <v>7538.9</v>
      </c>
      <c r="F56" s="7">
        <v>6500</v>
      </c>
      <c r="G56" s="11">
        <v>2253</v>
      </c>
      <c r="H56" s="11" t="s">
        <v>78</v>
      </c>
      <c r="I56" s="11" t="s">
        <v>78</v>
      </c>
      <c r="J56" s="11" t="s">
        <v>78</v>
      </c>
      <c r="K56" s="11" t="s">
        <v>78</v>
      </c>
      <c r="L56" s="11" t="s">
        <v>78</v>
      </c>
      <c r="M56" s="11" t="s">
        <v>78</v>
      </c>
      <c r="N56" s="11" t="s">
        <v>78</v>
      </c>
      <c r="O56" s="6">
        <f t="shared" si="0"/>
        <v>5430.633333333333</v>
      </c>
      <c r="P56" s="9">
        <f>5430.63*B56</f>
        <v>5430.63</v>
      </c>
    </row>
    <row r="57" spans="1:16" ht="15.75">
      <c r="A57" s="4" t="s">
        <v>127</v>
      </c>
      <c r="B57" s="4">
        <v>3</v>
      </c>
      <c r="C57" s="4" t="s">
        <v>75</v>
      </c>
      <c r="D57" s="16" t="s">
        <v>41</v>
      </c>
      <c r="E57" s="7">
        <v>292.12</v>
      </c>
      <c r="F57" s="7">
        <v>589</v>
      </c>
      <c r="G57" s="11">
        <v>370</v>
      </c>
      <c r="H57" s="11" t="s">
        <v>78</v>
      </c>
      <c r="I57" s="11" t="s">
        <v>78</v>
      </c>
      <c r="J57" s="11" t="s">
        <v>78</v>
      </c>
      <c r="K57" s="11" t="s">
        <v>78</v>
      </c>
      <c r="L57" s="11" t="s">
        <v>78</v>
      </c>
      <c r="M57" s="11" t="s">
        <v>78</v>
      </c>
      <c r="N57" s="11" t="s">
        <v>78</v>
      </c>
      <c r="O57" s="6">
        <f t="shared" si="0"/>
        <v>417.03999999999996</v>
      </c>
      <c r="P57" s="9">
        <f>417.04*B57</f>
        <v>1251.1200000000001</v>
      </c>
    </row>
    <row r="58" spans="1:16" ht="15.75">
      <c r="A58" s="4" t="s">
        <v>128</v>
      </c>
      <c r="B58" s="4">
        <v>1</v>
      </c>
      <c r="C58" s="4" t="s">
        <v>52</v>
      </c>
      <c r="D58" s="16" t="s">
        <v>42</v>
      </c>
      <c r="E58" s="7">
        <v>4737.99</v>
      </c>
      <c r="F58" s="7">
        <v>3500</v>
      </c>
      <c r="G58" s="11">
        <v>5900</v>
      </c>
      <c r="H58" s="11" t="s">
        <v>78</v>
      </c>
      <c r="I58" s="11" t="s">
        <v>78</v>
      </c>
      <c r="J58" s="11" t="s">
        <v>78</v>
      </c>
      <c r="K58" s="11" t="s">
        <v>78</v>
      </c>
      <c r="L58" s="11" t="s">
        <v>78</v>
      </c>
      <c r="M58" s="11" t="s">
        <v>78</v>
      </c>
      <c r="N58" s="11" t="s">
        <v>78</v>
      </c>
      <c r="O58" s="6">
        <f t="shared" si="0"/>
        <v>4712.663333333333</v>
      </c>
      <c r="P58" s="9">
        <f>4712.66*B58</f>
        <v>4712.66</v>
      </c>
    </row>
    <row r="59" spans="1:16" ht="26.25">
      <c r="A59" s="4" t="s">
        <v>129</v>
      </c>
      <c r="B59" s="4">
        <v>1</v>
      </c>
      <c r="C59" s="4" t="s">
        <v>52</v>
      </c>
      <c r="D59" s="15" t="s">
        <v>43</v>
      </c>
      <c r="E59" s="7">
        <v>9860.64</v>
      </c>
      <c r="F59" s="7">
        <v>8500</v>
      </c>
      <c r="G59" s="11">
        <v>11500</v>
      </c>
      <c r="H59" s="11" t="s">
        <v>78</v>
      </c>
      <c r="I59" s="11" t="s">
        <v>78</v>
      </c>
      <c r="J59" s="11" t="s">
        <v>78</v>
      </c>
      <c r="K59" s="11" t="s">
        <v>78</v>
      </c>
      <c r="L59" s="11" t="s">
        <v>78</v>
      </c>
      <c r="M59" s="11" t="s">
        <v>78</v>
      </c>
      <c r="N59" s="11" t="s">
        <v>78</v>
      </c>
      <c r="O59" s="6">
        <f t="shared" si="0"/>
        <v>9953.546666666667</v>
      </c>
      <c r="P59" s="9">
        <f>9953.55*B59</f>
        <v>9953.55</v>
      </c>
    </row>
    <row r="60" spans="1:16" ht="26.25">
      <c r="A60" s="4" t="s">
        <v>130</v>
      </c>
      <c r="B60" s="4">
        <v>1</v>
      </c>
      <c r="C60" s="4" t="s">
        <v>52</v>
      </c>
      <c r="D60" s="15" t="s">
        <v>44</v>
      </c>
      <c r="E60" s="7">
        <v>61676.25</v>
      </c>
      <c r="F60" s="7">
        <v>51600</v>
      </c>
      <c r="G60" s="11">
        <v>23000</v>
      </c>
      <c r="H60" s="11" t="s">
        <v>78</v>
      </c>
      <c r="I60" s="11" t="s">
        <v>78</v>
      </c>
      <c r="J60" s="11" t="s">
        <v>78</v>
      </c>
      <c r="K60" s="11" t="s">
        <v>78</v>
      </c>
      <c r="L60" s="11" t="s">
        <v>78</v>
      </c>
      <c r="M60" s="11" t="s">
        <v>78</v>
      </c>
      <c r="N60" s="11" t="s">
        <v>78</v>
      </c>
      <c r="O60" s="6">
        <f t="shared" si="0"/>
        <v>45425.416666666664</v>
      </c>
      <c r="P60" s="9">
        <f>45425.42*B60</f>
        <v>45425.42</v>
      </c>
    </row>
    <row r="61" spans="1:16" ht="15.75">
      <c r="A61" s="4" t="s">
        <v>131</v>
      </c>
      <c r="B61" s="4">
        <v>47</v>
      </c>
      <c r="C61" s="4" t="s">
        <v>52</v>
      </c>
      <c r="D61" s="16" t="s">
        <v>45</v>
      </c>
      <c r="E61" s="7">
        <v>4872.57</v>
      </c>
      <c r="F61" s="7">
        <v>4550</v>
      </c>
      <c r="G61" s="11">
        <v>3500</v>
      </c>
      <c r="H61" s="11" t="s">
        <v>78</v>
      </c>
      <c r="I61" s="11" t="s">
        <v>78</v>
      </c>
      <c r="J61" s="11" t="s">
        <v>78</v>
      </c>
      <c r="K61" s="11" t="s">
        <v>78</v>
      </c>
      <c r="L61" s="11" t="s">
        <v>78</v>
      </c>
      <c r="M61" s="11" t="s">
        <v>78</v>
      </c>
      <c r="N61" s="11" t="s">
        <v>78</v>
      </c>
      <c r="O61" s="6">
        <f t="shared" si="0"/>
        <v>4307.5233333333335</v>
      </c>
      <c r="P61" s="9">
        <f>4307.52*B61</f>
        <v>202453.44000000003</v>
      </c>
    </row>
    <row r="62" spans="1:16" ht="15.75">
      <c r="A62" s="4" t="s">
        <v>132</v>
      </c>
      <c r="B62" s="4">
        <v>47</v>
      </c>
      <c r="C62" s="4" t="s">
        <v>52</v>
      </c>
      <c r="D62" s="16" t="s">
        <v>46</v>
      </c>
      <c r="E62" s="7">
        <v>1714.85</v>
      </c>
      <c r="F62" s="7">
        <v>1000</v>
      </c>
      <c r="G62" s="11">
        <v>2350</v>
      </c>
      <c r="H62" s="11" t="s">
        <v>78</v>
      </c>
      <c r="I62" s="11" t="s">
        <v>78</v>
      </c>
      <c r="J62" s="11" t="s">
        <v>78</v>
      </c>
      <c r="K62" s="11" t="s">
        <v>78</v>
      </c>
      <c r="L62" s="11" t="s">
        <v>78</v>
      </c>
      <c r="M62" s="11" t="s">
        <v>78</v>
      </c>
      <c r="N62" s="11" t="s">
        <v>78</v>
      </c>
      <c r="O62" s="6">
        <f t="shared" si="0"/>
        <v>1688.2833333333335</v>
      </c>
      <c r="P62" s="9">
        <f>1688.28*B62</f>
        <v>79349.16</v>
      </c>
    </row>
    <row r="63" spans="1:16" ht="15.75">
      <c r="A63" s="4" t="s">
        <v>133</v>
      </c>
      <c r="B63" s="4">
        <v>24</v>
      </c>
      <c r="C63" s="4" t="s">
        <v>76</v>
      </c>
      <c r="D63" s="16" t="s">
        <v>47</v>
      </c>
      <c r="E63" s="7">
        <v>11873.65</v>
      </c>
      <c r="F63" s="7">
        <v>5500</v>
      </c>
      <c r="G63" s="11">
        <v>700</v>
      </c>
      <c r="H63" s="11" t="s">
        <v>78</v>
      </c>
      <c r="I63" s="11" t="s">
        <v>78</v>
      </c>
      <c r="J63" s="11" t="s">
        <v>78</v>
      </c>
      <c r="K63" s="11" t="s">
        <v>78</v>
      </c>
      <c r="L63" s="11" t="s">
        <v>78</v>
      </c>
      <c r="M63" s="11" t="s">
        <v>78</v>
      </c>
      <c r="N63" s="11" t="s">
        <v>78</v>
      </c>
      <c r="O63" s="6">
        <f t="shared" si="0"/>
        <v>6024.55</v>
      </c>
      <c r="P63" s="9">
        <f>6024.55*B63</f>
        <v>144589.2</v>
      </c>
    </row>
    <row r="64" spans="1:16" ht="39">
      <c r="A64" s="4" t="s">
        <v>134</v>
      </c>
      <c r="B64" s="4">
        <v>12</v>
      </c>
      <c r="C64" s="4" t="s">
        <v>73</v>
      </c>
      <c r="D64" s="15" t="s">
        <v>48</v>
      </c>
      <c r="E64" s="7">
        <v>42821.27</v>
      </c>
      <c r="F64" s="7">
        <v>37500</v>
      </c>
      <c r="G64" s="11">
        <v>78000</v>
      </c>
      <c r="H64" s="11" t="s">
        <v>78</v>
      </c>
      <c r="I64" s="11" t="s">
        <v>78</v>
      </c>
      <c r="J64" s="11" t="s">
        <v>78</v>
      </c>
      <c r="K64" s="11" t="s">
        <v>78</v>
      </c>
      <c r="L64" s="11" t="s">
        <v>78</v>
      </c>
      <c r="M64" s="11" t="s">
        <v>78</v>
      </c>
      <c r="N64" s="11" t="s">
        <v>78</v>
      </c>
      <c r="O64" s="6">
        <f t="shared" si="0"/>
        <v>52773.75666666666</v>
      </c>
      <c r="P64" s="9">
        <f>52773.76*B64</f>
        <v>633285.12</v>
      </c>
    </row>
    <row r="65" spans="1:16" ht="15.75">
      <c r="A65" s="4" t="s">
        <v>135</v>
      </c>
      <c r="B65" s="4">
        <v>12</v>
      </c>
      <c r="C65" s="4" t="s">
        <v>73</v>
      </c>
      <c r="D65" s="13" t="s">
        <v>49</v>
      </c>
      <c r="E65" s="7">
        <v>26722.09</v>
      </c>
      <c r="F65" s="7">
        <v>18500</v>
      </c>
      <c r="G65" s="11" t="s">
        <v>78</v>
      </c>
      <c r="H65" s="11" t="s">
        <v>78</v>
      </c>
      <c r="I65" s="11" t="s">
        <v>78</v>
      </c>
      <c r="J65" s="11" t="s">
        <v>78</v>
      </c>
      <c r="K65" s="11" t="s">
        <v>78</v>
      </c>
      <c r="L65" s="11" t="s">
        <v>78</v>
      </c>
      <c r="M65" s="11" t="s">
        <v>78</v>
      </c>
      <c r="N65" s="11" t="s">
        <v>78</v>
      </c>
      <c r="O65" s="6">
        <f t="shared" si="0"/>
        <v>22611.045</v>
      </c>
      <c r="P65" s="9">
        <f>22611.05*B65</f>
        <v>271332.6</v>
      </c>
    </row>
    <row r="66" spans="1:16" ht="15.75">
      <c r="A66" s="4" t="s">
        <v>136</v>
      </c>
      <c r="B66" s="4">
        <v>12</v>
      </c>
      <c r="C66" s="4" t="s">
        <v>77</v>
      </c>
      <c r="D66" s="16" t="s">
        <v>50</v>
      </c>
      <c r="E66" s="7">
        <v>1614.36</v>
      </c>
      <c r="F66" s="7">
        <v>850</v>
      </c>
      <c r="G66" s="11">
        <v>1600</v>
      </c>
      <c r="H66" s="11" t="s">
        <v>78</v>
      </c>
      <c r="I66" s="11" t="s">
        <v>78</v>
      </c>
      <c r="J66" s="11" t="s">
        <v>78</v>
      </c>
      <c r="K66" s="11" t="s">
        <v>78</v>
      </c>
      <c r="L66" s="11" t="s">
        <v>78</v>
      </c>
      <c r="M66" s="11" t="s">
        <v>78</v>
      </c>
      <c r="N66" s="11" t="s">
        <v>78</v>
      </c>
      <c r="O66" s="6">
        <f t="shared" si="0"/>
        <v>1354.7866666666666</v>
      </c>
      <c r="P66" s="9">
        <f>1354.79*B66</f>
        <v>16257.48</v>
      </c>
    </row>
    <row r="67" spans="1:16" ht="15.75">
      <c r="A67" s="4" t="s">
        <v>137</v>
      </c>
      <c r="B67" s="4">
        <v>35</v>
      </c>
      <c r="C67" s="4" t="s">
        <v>77</v>
      </c>
      <c r="D67" s="16" t="s">
        <v>51</v>
      </c>
      <c r="E67" s="7">
        <v>95.26</v>
      </c>
      <c r="F67" s="7">
        <v>65</v>
      </c>
      <c r="G67" s="11">
        <v>90</v>
      </c>
      <c r="H67" s="11" t="s">
        <v>78</v>
      </c>
      <c r="I67" s="11" t="s">
        <v>78</v>
      </c>
      <c r="J67" s="11" t="s">
        <v>78</v>
      </c>
      <c r="K67" s="11" t="s">
        <v>78</v>
      </c>
      <c r="L67" s="11" t="s">
        <v>78</v>
      </c>
      <c r="M67" s="11" t="s">
        <v>78</v>
      </c>
      <c r="N67" s="11" t="s">
        <v>78</v>
      </c>
      <c r="O67" s="6">
        <f t="shared" si="0"/>
        <v>83.42</v>
      </c>
      <c r="P67" s="9">
        <f>83.42*B67</f>
        <v>2919.7000000000003</v>
      </c>
    </row>
    <row r="68" spans="1:17" ht="19.5" customHeight="1">
      <c r="A68" s="23" t="s">
        <v>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0">
        <f>SUM(P9:P67)</f>
        <v>8180116</v>
      </c>
      <c r="Q68" s="8"/>
    </row>
    <row r="70" spans="1:16" ht="15">
      <c r="A70" s="19" t="s">
        <v>146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</sheetData>
  <mergeCells count="12">
    <mergeCell ref="A70:P70"/>
    <mergeCell ref="A5:P5"/>
    <mergeCell ref="P7:P8"/>
    <mergeCell ref="A2:P2"/>
    <mergeCell ref="A3:P3"/>
    <mergeCell ref="A68:O68"/>
    <mergeCell ref="O7:O8"/>
    <mergeCell ref="A7:A8"/>
    <mergeCell ref="B7:B8"/>
    <mergeCell ref="C7:C8"/>
    <mergeCell ref="D7:D8"/>
    <mergeCell ref="E7:N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Douglas Sampaio Rafael</cp:lastModifiedBy>
  <cp:lastPrinted>2020-01-28T19:50:51Z</cp:lastPrinted>
  <dcterms:created xsi:type="dcterms:W3CDTF">2019-05-21T18:16:44Z</dcterms:created>
  <dcterms:modified xsi:type="dcterms:W3CDTF">2020-02-05T18:19:15Z</dcterms:modified>
  <cp:category/>
  <cp:version/>
  <cp:contentType/>
  <cp:contentStatus/>
</cp:coreProperties>
</file>